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KWiklund\Desktop\Personal\PTA Treasurer\"/>
    </mc:Choice>
  </mc:AlternateContent>
  <xr:revisionPtr revIDLastSave="0" documentId="13_ncr:1_{65F99591-AFD9-40EE-9ABE-C0A2A01366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4" i="1" l="1"/>
  <c r="F143" i="1"/>
  <c r="F24" i="1"/>
  <c r="F77" i="1"/>
  <c r="F78" i="1"/>
  <c r="F106" i="1"/>
  <c r="E126" i="1" l="1"/>
  <c r="E123" i="1"/>
  <c r="Q127" i="1" l="1"/>
  <c r="E135" i="1" l="1"/>
  <c r="E134" i="1"/>
  <c r="E130" i="1"/>
  <c r="E103" i="1"/>
  <c r="E94" i="1"/>
  <c r="E80" i="1"/>
  <c r="E61" i="1"/>
  <c r="E47" i="1"/>
  <c r="E29" i="1"/>
  <c r="E18" i="1"/>
  <c r="E10" i="1"/>
  <c r="F9" i="1"/>
  <c r="E136" i="1" l="1"/>
  <c r="E21" i="1"/>
  <c r="E30" i="1" s="1"/>
  <c r="E137" i="1" l="1"/>
  <c r="F14" i="1" l="1"/>
  <c r="F13" i="1"/>
  <c r="F86" i="1"/>
  <c r="F149" i="1" l="1"/>
  <c r="F71" i="1"/>
  <c r="F117" i="1"/>
  <c r="F16" i="1"/>
  <c r="F28" i="1"/>
  <c r="F36" i="1"/>
  <c r="F26" i="1"/>
  <c r="F8" i="1"/>
  <c r="F128" i="1"/>
  <c r="F80" i="1"/>
  <c r="F53" i="1"/>
  <c r="F134" i="1"/>
  <c r="F126" i="1"/>
  <c r="H117" i="1"/>
  <c r="F103" i="1"/>
  <c r="F94" i="1"/>
  <c r="H94" i="1"/>
  <c r="H47" i="1"/>
  <c r="H18" i="1"/>
  <c r="F29" i="1" l="1"/>
  <c r="F18" i="1"/>
  <c r="F10" i="1"/>
  <c r="F130" i="1"/>
  <c r="F47" i="1"/>
  <c r="F61" i="1"/>
  <c r="G135" i="1"/>
  <c r="G134" i="1"/>
  <c r="G130" i="1"/>
  <c r="G122" i="1"/>
  <c r="G126" i="1" s="1"/>
  <c r="G103" i="1"/>
  <c r="G86" i="1"/>
  <c r="G94" i="1" s="1"/>
  <c r="G80" i="1"/>
  <c r="G61" i="1"/>
  <c r="G47" i="1"/>
  <c r="G29" i="1"/>
  <c r="G18" i="1"/>
  <c r="G10" i="1"/>
  <c r="K135" i="1"/>
  <c r="I135" i="1"/>
  <c r="K134" i="1"/>
  <c r="I134" i="1"/>
  <c r="H134" i="1"/>
  <c r="J132" i="1"/>
  <c r="J134" i="1" s="1"/>
  <c r="C132" i="1"/>
  <c r="C134" i="1" s="1"/>
  <c r="K130" i="1"/>
  <c r="I130" i="1"/>
  <c r="J129" i="1"/>
  <c r="H129" i="1"/>
  <c r="L128" i="1"/>
  <c r="J128" i="1"/>
  <c r="H128" i="1"/>
  <c r="C128" i="1"/>
  <c r="C130" i="1" s="1"/>
  <c r="K122" i="1"/>
  <c r="K126" i="1" s="1"/>
  <c r="I122" i="1"/>
  <c r="I126" i="1" s="1"/>
  <c r="J120" i="1"/>
  <c r="J126" i="1" s="1"/>
  <c r="H120" i="1"/>
  <c r="C120" i="1"/>
  <c r="C126" i="1" s="1"/>
  <c r="L119" i="1"/>
  <c r="C117" i="1"/>
  <c r="L116" i="1"/>
  <c r="J116" i="1"/>
  <c r="L115" i="1"/>
  <c r="J115" i="1"/>
  <c r="L114" i="1"/>
  <c r="L113" i="1"/>
  <c r="J113" i="1"/>
  <c r="L112" i="1"/>
  <c r="L111" i="1"/>
  <c r="J111" i="1"/>
  <c r="L110" i="1"/>
  <c r="L109" i="1"/>
  <c r="J109" i="1"/>
  <c r="L108" i="1"/>
  <c r="J108" i="1"/>
  <c r="L107" i="1"/>
  <c r="L106" i="1"/>
  <c r="L105" i="1"/>
  <c r="J105" i="1"/>
  <c r="K103" i="1"/>
  <c r="I103" i="1"/>
  <c r="H102" i="1"/>
  <c r="C99" i="1"/>
  <c r="C97" i="1"/>
  <c r="J91" i="1"/>
  <c r="K86" i="1"/>
  <c r="K94" i="1" s="1"/>
  <c r="J86" i="1"/>
  <c r="I86" i="1"/>
  <c r="I94" i="1" s="1"/>
  <c r="J85" i="1"/>
  <c r="C85" i="1"/>
  <c r="C94" i="1" s="1"/>
  <c r="J80" i="1"/>
  <c r="I80" i="1"/>
  <c r="C80" i="1"/>
  <c r="K78" i="1"/>
  <c r="K75" i="1"/>
  <c r="L74" i="1"/>
  <c r="L68" i="1"/>
  <c r="H68" i="1"/>
  <c r="J67" i="1"/>
  <c r="J71" i="1" s="1"/>
  <c r="H67" i="1"/>
  <c r="C67" i="1"/>
  <c r="C71" i="1" s="1"/>
  <c r="K61" i="1"/>
  <c r="I61" i="1"/>
  <c r="J60" i="1"/>
  <c r="C60" i="1"/>
  <c r="C57" i="1"/>
  <c r="J56" i="1"/>
  <c r="C56" i="1"/>
  <c r="J54" i="1"/>
  <c r="C54" i="1"/>
  <c r="L53" i="1"/>
  <c r="J53" i="1"/>
  <c r="C53" i="1"/>
  <c r="L52" i="1"/>
  <c r="L50" i="1"/>
  <c r="K47" i="1"/>
  <c r="I47" i="1"/>
  <c r="C42" i="1"/>
  <c r="C41" i="1"/>
  <c r="C40" i="1"/>
  <c r="C37" i="1"/>
  <c r="C36" i="1"/>
  <c r="K29" i="1"/>
  <c r="I29" i="1"/>
  <c r="L27" i="1"/>
  <c r="H29" i="1"/>
  <c r="L26" i="1"/>
  <c r="C26" i="1"/>
  <c r="L25" i="1"/>
  <c r="L24" i="1"/>
  <c r="C24" i="1"/>
  <c r="K18" i="1"/>
  <c r="I18" i="1"/>
  <c r="C16" i="1"/>
  <c r="L15" i="1"/>
  <c r="C15" i="1"/>
  <c r="L14" i="1"/>
  <c r="C14" i="1"/>
  <c r="L13" i="1"/>
  <c r="K10" i="1"/>
  <c r="I10" i="1"/>
  <c r="I21" i="1" s="1"/>
  <c r="C8" i="1"/>
  <c r="C10" i="1" s="1"/>
  <c r="L44" i="1"/>
  <c r="L132" i="1"/>
  <c r="L8" i="1"/>
  <c r="L125" i="1"/>
  <c r="L39" i="1"/>
  <c r="L42" i="1"/>
  <c r="L46" i="1"/>
  <c r="L76" i="1"/>
  <c r="L120" i="1"/>
  <c r="L56" i="1"/>
  <c r="L75" i="1"/>
  <c r="L43" i="1"/>
  <c r="L77" i="1"/>
  <c r="L35" i="1"/>
  <c r="L58" i="1"/>
  <c r="L16" i="1"/>
  <c r="L36" i="1"/>
  <c r="L85" i="1"/>
  <c r="L102" i="1"/>
  <c r="L38" i="1"/>
  <c r="L100" i="1"/>
  <c r="L98" i="1"/>
  <c r="L122" i="1"/>
  <c r="L67" i="1"/>
  <c r="L87" i="1"/>
  <c r="L69" i="1"/>
  <c r="L79" i="1"/>
  <c r="L84" i="1"/>
  <c r="L45" i="1"/>
  <c r="L97" i="1"/>
  <c r="L129" i="1"/>
  <c r="L9" i="1"/>
  <c r="L41" i="1"/>
  <c r="L54" i="1"/>
  <c r="F21" i="1" l="1"/>
  <c r="F30" i="1" s="1"/>
  <c r="F136" i="1"/>
  <c r="J94" i="1"/>
  <c r="I30" i="1"/>
  <c r="K21" i="1"/>
  <c r="K30" i="1" s="1"/>
  <c r="I136" i="1"/>
  <c r="L117" i="1"/>
  <c r="K80" i="1"/>
  <c r="K136" i="1" s="1"/>
  <c r="K137" i="1" s="1"/>
  <c r="C29" i="1"/>
  <c r="J18" i="1"/>
  <c r="C61" i="1"/>
  <c r="L29" i="1"/>
  <c r="C18" i="1"/>
  <c r="C21" i="1" s="1"/>
  <c r="H10" i="1"/>
  <c r="H71" i="1"/>
  <c r="H80" i="1"/>
  <c r="H61" i="1"/>
  <c r="H126" i="1"/>
  <c r="G136" i="1"/>
  <c r="G21" i="1"/>
  <c r="G30" i="1" s="1"/>
  <c r="J29" i="1"/>
  <c r="C47" i="1"/>
  <c r="J61" i="1"/>
  <c r="H130" i="1"/>
  <c r="C103" i="1"/>
  <c r="J117" i="1"/>
  <c r="J130" i="1"/>
  <c r="J10" i="1"/>
  <c r="J47" i="1"/>
  <c r="J103" i="1"/>
  <c r="H103" i="1"/>
  <c r="L71" i="1"/>
  <c r="L10" i="1"/>
  <c r="L130" i="1"/>
  <c r="L103" i="1"/>
  <c r="L134" i="1"/>
  <c r="L47" i="1"/>
  <c r="L94" i="1"/>
  <c r="L18" i="1"/>
  <c r="L126" i="1"/>
  <c r="L61" i="1"/>
  <c r="L80" i="1"/>
  <c r="F137" i="1" l="1"/>
  <c r="I137" i="1"/>
  <c r="C30" i="1"/>
  <c r="J21" i="1"/>
  <c r="J30" i="1" s="1"/>
  <c r="L21" i="1"/>
  <c r="L30" i="1" s="1"/>
  <c r="H21" i="1"/>
  <c r="H30" i="1" s="1"/>
  <c r="C136" i="1"/>
  <c r="J136" i="1"/>
  <c r="H136" i="1"/>
  <c r="G137" i="1"/>
  <c r="L136" i="1"/>
  <c r="H137" i="1" l="1"/>
  <c r="L137" i="1"/>
  <c r="C137" i="1"/>
  <c r="C139" i="1" s="1"/>
  <c r="J137" i="1"/>
  <c r="J139" i="1" s="1"/>
  <c r="F145" i="1" l="1"/>
  <c r="F147" i="1" s="1"/>
  <c r="F1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tc={B64CEBF2-D52B-44C4-817B-3B702DF8E1C9}</author>
    <author>Kristen Wiklund</author>
  </authors>
  <commentList>
    <comment ref="F28" authorId="0" shapeId="0" xr:uid="{B64CEBF2-D52B-44C4-817B-3B702DF8E1C9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Computershare/KCC Settlement
Reply:
    Also includes final payment for 2021 year books 72.46
Reply:
    Also includes $2,170.00 received for 6th grade yearbooks</t>
      </text>
    </comment>
    <comment ref="F137" authorId="1" shapeId="0" xr:uid="{15679B91-01C6-4AE1-BD76-0F9432A1AE92}">
      <text>
        <r>
          <rPr>
            <b/>
            <sz val="9"/>
            <color indexed="81"/>
            <rFont val="Tahoma"/>
            <family val="2"/>
          </rPr>
          <t>Kristen Wiklund:</t>
        </r>
        <r>
          <rPr>
            <sz val="9"/>
            <color indexed="81"/>
            <rFont val="Tahoma"/>
            <family val="2"/>
          </rPr>
          <t xml:space="preserve">
Note variance to additions in the treasurer's file relate to 3 reissued fun lunch checks for 62.80, 98.80 and 104.70
Currently includes all line items through 396 on disbursements and 541 on deposits</t>
        </r>
      </text>
    </comment>
  </commentList>
</comments>
</file>

<file path=xl/sharedStrings.xml><?xml version="1.0" encoding="utf-8"?>
<sst xmlns="http://schemas.openxmlformats.org/spreadsheetml/2006/main" count="151" uniqueCount="138">
  <si>
    <t>Lester Elementary School PTA</t>
  </si>
  <si>
    <t>2020-21</t>
  </si>
  <si>
    <t>2019-20</t>
  </si>
  <si>
    <t>2018-19</t>
  </si>
  <si>
    <t>Actual YTD</t>
  </si>
  <si>
    <t>Budget</t>
  </si>
  <si>
    <t>Actual</t>
  </si>
  <si>
    <t>REVENUE</t>
  </si>
  <si>
    <t>Fundraising Events</t>
  </si>
  <si>
    <t>Fun Run, net</t>
  </si>
  <si>
    <t>Winter Fundraiser, net</t>
  </si>
  <si>
    <t>Total Fundraising Events</t>
  </si>
  <si>
    <t>Other Fundraising and Membership</t>
  </si>
  <si>
    <t>Box Tops for Education</t>
  </si>
  <si>
    <t>Dine Out &amp; Shopping Events</t>
  </si>
  <si>
    <t>Donations (Ice Cream Social &amp; MemberHub)</t>
  </si>
  <si>
    <t>Membership Dues</t>
  </si>
  <si>
    <t>Book Fairs (proceeds to LRC Books)</t>
  </si>
  <si>
    <t>Total Other Fundraising and Membership</t>
  </si>
  <si>
    <t>Total Fundraising and Membership</t>
  </si>
  <si>
    <t>Revenue-Neutral Programs (expenditures approximate revenue)</t>
  </si>
  <si>
    <t>Daddy Daughter Dance</t>
  </si>
  <si>
    <t>Mom Son Game Night</t>
  </si>
  <si>
    <t>Fun Lunch</t>
  </si>
  <si>
    <t>School Supply Kits</t>
  </si>
  <si>
    <t>Total Revenue-Neutral Programs</t>
  </si>
  <si>
    <t>TOTAL REVENUE</t>
  </si>
  <si>
    <t>EXPENDITURES</t>
  </si>
  <si>
    <t>Academic &amp; Athletic Enrichment Programs</t>
  </si>
  <si>
    <t>Art &amp; Garden Club</t>
  </si>
  <si>
    <t>Art Awareness</t>
  </si>
  <si>
    <t>Author Fest</t>
  </si>
  <si>
    <t>Expressions</t>
  </si>
  <si>
    <t>Field Day</t>
  </si>
  <si>
    <t>Fit Boys</t>
  </si>
  <si>
    <t>Fit Girls</t>
  </si>
  <si>
    <t>Lester Staff Sponsored After-School Programs (Destination Imagination)</t>
  </si>
  <si>
    <t>Reflections</t>
  </si>
  <si>
    <t>Science Olympiad</t>
  </si>
  <si>
    <t>Summer Math Club</t>
  </si>
  <si>
    <t>Total Academic &amp; Athletic Enrichment Programs</t>
  </si>
  <si>
    <t>Administration &amp; Facilities</t>
  </si>
  <si>
    <t>Accounting &amp; Banking</t>
  </si>
  <si>
    <t>Equipment</t>
  </si>
  <si>
    <t>Illinois Secretary of State</t>
  </si>
  <si>
    <t>Insurance</t>
  </si>
  <si>
    <t>Marketing &amp; Public Relations</t>
  </si>
  <si>
    <t>Office Supplies &amp; Postage</t>
  </si>
  <si>
    <t>Playground Maintenance</t>
  </si>
  <si>
    <t>Website - Fundraising</t>
  </si>
  <si>
    <t>Website - Fun Lunch</t>
  </si>
  <si>
    <t>Website - PTA</t>
  </si>
  <si>
    <t>Total Administrative &amp; Facilities</t>
  </si>
  <si>
    <t>Assemblies &amp; Guest Speakers</t>
  </si>
  <si>
    <t>Fall Assembly</t>
  </si>
  <si>
    <t>Winter Assembly</t>
  </si>
  <si>
    <t>6th Grade Guest Speaker</t>
  </si>
  <si>
    <t>Total Assemblies &amp; Guest Speakers</t>
  </si>
  <si>
    <t>Celebrations &amp; Appreciation</t>
  </si>
  <si>
    <t>Student Birthdays</t>
  </si>
  <si>
    <t>6th Grade Party</t>
  </si>
  <si>
    <t>Approved at 4/22 PTA meeting</t>
  </si>
  <si>
    <t>Teacher Appreciation - Ongoing</t>
  </si>
  <si>
    <t>Teacher Appreciation Week</t>
  </si>
  <si>
    <t>Total Celebrations &amp; Appreciation</t>
  </si>
  <si>
    <t>Classroom Support</t>
  </si>
  <si>
    <t>Learning Resource Center &amp; Reading Materials</t>
  </si>
  <si>
    <t>Box Top Awards for Classroom Materials</t>
  </si>
  <si>
    <t>Scholastic, Inc. / Time for Kids</t>
  </si>
  <si>
    <t>Teacher Classroom Funds (32 * $100 Fall &amp; $100 Spring)</t>
  </si>
  <si>
    <t>Tumblebooks</t>
  </si>
  <si>
    <t>Wishlist</t>
  </si>
  <si>
    <t>Total Classroom Support</t>
  </si>
  <si>
    <t>Family Activities</t>
  </si>
  <si>
    <t>Daddy Daughter Dance (exp. is = or &lt; revenue)</t>
  </si>
  <si>
    <t>Mother Son Event (exp. is = or &lt; revenue)</t>
  </si>
  <si>
    <t>Ice Cream Social</t>
  </si>
  <si>
    <t>Family Reading Night</t>
  </si>
  <si>
    <t>One Book, One School</t>
  </si>
  <si>
    <t>Total Family Activities</t>
  </si>
  <si>
    <t>Total Field Trips</t>
  </si>
  <si>
    <t>Lester Community</t>
  </si>
  <si>
    <t>Class Ambassador Program (including Cub Club)</t>
  </si>
  <si>
    <t>Fun Lunch (revenue approx. expense)</t>
  </si>
  <si>
    <t>School Supply Kits (revenue approx. expense)</t>
  </si>
  <si>
    <t>Student Support (F&amp;R Snacks &amp; Lunches)</t>
  </si>
  <si>
    <t>Welcome Committee</t>
  </si>
  <si>
    <t>Total Lester Community</t>
  </si>
  <si>
    <t>PTA Membership</t>
  </si>
  <si>
    <t>IL PTA and National PTA Dues</t>
  </si>
  <si>
    <t>DG PTA Council Dues</t>
  </si>
  <si>
    <t>Total PTA Membership</t>
  </si>
  <si>
    <t>Scholarship &amp; Memorials</t>
  </si>
  <si>
    <t>Annual Scholarship</t>
  </si>
  <si>
    <t>Memorials &amp; Plaques</t>
  </si>
  <si>
    <t>Total Scholarship &amp; Memorials</t>
  </si>
  <si>
    <t>Other Projects and Programs / Accruals</t>
  </si>
  <si>
    <t>TOTAL EXPENDITURES</t>
  </si>
  <si>
    <t>NET REVENUE</t>
  </si>
  <si>
    <t>Check to Treasurer's Report---&gt;</t>
  </si>
  <si>
    <t>2021-22</t>
  </si>
  <si>
    <t>Kindergarten Guest Speaker</t>
  </si>
  <si>
    <t>Staff Retirement Recognition</t>
  </si>
  <si>
    <t>*Staff retirement recognition is intended as a total expense, not per staff member</t>
  </si>
  <si>
    <t>Other</t>
  </si>
  <si>
    <t>Total running deposits 21/22</t>
  </si>
  <si>
    <t>Total running disbursements 21/22</t>
  </si>
  <si>
    <t>Net 21/22</t>
  </si>
  <si>
    <t>Variance to above</t>
  </si>
  <si>
    <t>Known Variance</t>
  </si>
  <si>
    <t>Variance</t>
  </si>
  <si>
    <t xml:space="preserve"> 2021-22 compared to 2020-21 and 2019-20 Budget vs. Actual</t>
  </si>
  <si>
    <t>2022-23</t>
  </si>
  <si>
    <t>Propsed Budget</t>
  </si>
  <si>
    <t>PE Special Event/Equipment (Formerly Roller Skating)</t>
  </si>
  <si>
    <r>
      <t xml:space="preserve">Field Trips - Programs &amp; Transportation </t>
    </r>
    <r>
      <rPr>
        <b/>
        <i/>
        <sz val="12"/>
        <color theme="0"/>
        <rFont val="Times New Roman"/>
        <family val="1"/>
      </rPr>
      <t>(2019-20 Destinations)</t>
    </r>
  </si>
  <si>
    <r>
      <t xml:space="preserve">Kindergarten </t>
    </r>
    <r>
      <rPr>
        <i/>
        <sz val="12"/>
        <color theme="1"/>
        <rFont val="Times New Roman"/>
        <family val="1"/>
      </rPr>
      <t>(Morton Arboretum)</t>
    </r>
  </si>
  <si>
    <r>
      <t xml:space="preserve">Kindergarten </t>
    </r>
    <r>
      <rPr>
        <i/>
        <sz val="12"/>
        <color theme="1"/>
        <rFont val="Times New Roman"/>
        <family val="1"/>
      </rPr>
      <t>(Alphabet Soup: Aladdin)</t>
    </r>
  </si>
  <si>
    <r>
      <t xml:space="preserve">1st Grade </t>
    </r>
    <r>
      <rPr>
        <i/>
        <sz val="12"/>
        <color theme="1"/>
        <rFont val="Times New Roman"/>
        <family val="1"/>
      </rPr>
      <t>(Brookfield Zoo)</t>
    </r>
  </si>
  <si>
    <r>
      <rPr>
        <sz val="12"/>
        <color theme="1"/>
        <rFont val="Times New Roman"/>
        <family val="1"/>
      </rPr>
      <t xml:space="preserve">1st Grade </t>
    </r>
    <r>
      <rPr>
        <i/>
        <sz val="12"/>
        <color theme="1"/>
        <rFont val="Times New Roman"/>
        <family val="1"/>
      </rPr>
      <t>(Alphabet Soup: Beauty and the Beast)</t>
    </r>
  </si>
  <si>
    <r>
      <t>2nd Grade</t>
    </r>
    <r>
      <rPr>
        <i/>
        <sz val="12"/>
        <color theme="1"/>
        <rFont val="Times New Roman"/>
        <family val="1"/>
      </rPr>
      <t xml:space="preserve"> (AlphaBet Soup: Beauty and the Beast)</t>
    </r>
  </si>
  <si>
    <r>
      <t>2nd Grade</t>
    </r>
    <r>
      <rPr>
        <i/>
        <sz val="12"/>
        <color theme="1"/>
        <rFont val="Times New Roman"/>
        <family val="1"/>
      </rPr>
      <t xml:space="preserve"> (Naper Settlement)</t>
    </r>
  </si>
  <si>
    <r>
      <t>3rd Grade</t>
    </r>
    <r>
      <rPr>
        <i/>
        <sz val="12"/>
        <color theme="1"/>
        <rFont val="Times New Roman"/>
        <family val="1"/>
      </rPr>
      <t xml:space="preserve"> (Drury Lane: Shrek the Musical)</t>
    </r>
  </si>
  <si>
    <r>
      <t xml:space="preserve">3rd Grade </t>
    </r>
    <r>
      <rPr>
        <i/>
        <sz val="12"/>
        <color theme="1"/>
        <rFont val="Times New Roman"/>
        <family val="1"/>
      </rPr>
      <t>(Chicago, IL: Wendella &amp; Chicago History Museum)</t>
    </r>
  </si>
  <si>
    <r>
      <t>4th Grade</t>
    </r>
    <r>
      <rPr>
        <i/>
        <sz val="12"/>
        <color theme="1"/>
        <rFont val="Times New Roman"/>
        <family val="1"/>
      </rPr>
      <t xml:space="preserve"> (North Central College: Wizard of Oz)</t>
    </r>
  </si>
  <si>
    <r>
      <t>5th Grade</t>
    </r>
    <r>
      <rPr>
        <i/>
        <sz val="12"/>
        <color theme="1"/>
        <rFont val="Times New Roman"/>
        <family val="1"/>
      </rPr>
      <t xml:space="preserve"> (Museum of Science &amp; Industry)</t>
    </r>
  </si>
  <si>
    <r>
      <t>5th Grade</t>
    </r>
    <r>
      <rPr>
        <i/>
        <sz val="12"/>
        <color theme="1"/>
        <rFont val="Times New Roman"/>
        <family val="1"/>
      </rPr>
      <t xml:space="preserve"> (Tivoli/Ogden 6: Call of the Wild</t>
    </r>
    <r>
      <rPr>
        <sz val="12"/>
        <color theme="1"/>
        <rFont val="Times New Roman"/>
        <family val="1"/>
      </rPr>
      <t>)</t>
    </r>
  </si>
  <si>
    <r>
      <t>6th Grade</t>
    </r>
    <r>
      <rPr>
        <i/>
        <sz val="12"/>
        <color theme="1"/>
        <rFont val="Times New Roman"/>
        <family val="1"/>
      </rPr>
      <t xml:space="preserve"> (Field Museum: Egypt Exhibit)</t>
    </r>
  </si>
  <si>
    <t>Volunteer and Admin. Appreciation (Includes Nurses Week)</t>
  </si>
  <si>
    <t>Flexible Seating and Shelving for Library</t>
  </si>
  <si>
    <t>Mascot and Cricut Machine</t>
  </si>
  <si>
    <t>Flexible seating and flexible workstations for classrooms</t>
  </si>
  <si>
    <t>Pebble Go (Was included on 2020/2021 wishlist)</t>
  </si>
  <si>
    <t>Cricut Membership</t>
  </si>
  <si>
    <t>Lester Cultural Night</t>
  </si>
  <si>
    <t>Yearbook Purchase for students</t>
  </si>
  <si>
    <t>Lester Gardens (formerly Fall Refresh)</t>
  </si>
  <si>
    <t>Reading Games -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</si>
</sst>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theme="4" tint="-0.249977111117893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70C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4" fillId="3" borderId="0" xfId="0" applyFont="1" applyFill="1"/>
    <xf numFmtId="164" fontId="4" fillId="3" borderId="0" xfId="1" applyNumberFormat="1" applyFont="1" applyFill="1"/>
    <xf numFmtId="0" fontId="5" fillId="2" borderId="1" xfId="0" applyFont="1" applyFill="1" applyBorder="1" applyAlignment="1"/>
    <xf numFmtId="0" fontId="6" fillId="2" borderId="0" xfId="0" applyFont="1" applyFill="1"/>
    <xf numFmtId="0" fontId="5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4" fillId="2" borderId="0" xfId="1" applyNumberFormat="1" applyFont="1" applyFill="1"/>
    <xf numFmtId="0" fontId="4" fillId="2" borderId="6" xfId="0" applyFont="1" applyFill="1" applyBorder="1"/>
    <xf numFmtId="0" fontId="5" fillId="2" borderId="6" xfId="0" applyFont="1" applyFill="1" applyBorder="1"/>
    <xf numFmtId="164" fontId="7" fillId="2" borderId="6" xfId="1" applyNumberFormat="1" applyFont="1" applyFill="1" applyBorder="1"/>
    <xf numFmtId="164" fontId="4" fillId="2" borderId="6" xfId="1" applyNumberFormat="1" applyFont="1" applyFill="1" applyBorder="1"/>
    <xf numFmtId="0" fontId="4" fillId="0" borderId="0" xfId="0" applyFont="1" applyFill="1"/>
    <xf numFmtId="165" fontId="4" fillId="3" borderId="0" xfId="2" applyNumberFormat="1" applyFont="1" applyFill="1" applyBorder="1"/>
    <xf numFmtId="165" fontId="4" fillId="7" borderId="0" xfId="2" applyNumberFormat="1" applyFont="1" applyFill="1" applyBorder="1"/>
    <xf numFmtId="165" fontId="4" fillId="4" borderId="0" xfId="2" applyNumberFormat="1" applyFont="1" applyFill="1" applyBorder="1"/>
    <xf numFmtId="164" fontId="8" fillId="3" borderId="0" xfId="0" applyNumberFormat="1" applyFont="1" applyFill="1"/>
    <xf numFmtId="164" fontId="4" fillId="3" borderId="0" xfId="1" applyNumberFormat="1" applyFont="1" applyFill="1" applyBorder="1"/>
    <xf numFmtId="164" fontId="4" fillId="7" borderId="0" xfId="1" applyNumberFormat="1" applyFont="1" applyFill="1" applyBorder="1"/>
    <xf numFmtId="164" fontId="4" fillId="4" borderId="0" xfId="1" applyNumberFormat="1" applyFont="1" applyFill="1" applyBorder="1"/>
    <xf numFmtId="0" fontId="7" fillId="3" borderId="0" xfId="0" applyFont="1" applyFill="1" applyAlignment="1">
      <alignment horizontal="right"/>
    </xf>
    <xf numFmtId="164" fontId="7" fillId="3" borderId="7" xfId="1" applyNumberFormat="1" applyFont="1" applyFill="1" applyBorder="1"/>
    <xf numFmtId="164" fontId="7" fillId="4" borderId="7" xfId="1" applyNumberFormat="1" applyFont="1" applyFill="1" applyBorder="1"/>
    <xf numFmtId="0" fontId="4" fillId="2" borderId="0" xfId="0" applyFont="1" applyFill="1"/>
    <xf numFmtId="0" fontId="5" fillId="2" borderId="0" xfId="0" applyFont="1" applyFill="1"/>
    <xf numFmtId="164" fontId="7" fillId="2" borderId="0" xfId="1" applyNumberFormat="1" applyFont="1" applyFill="1"/>
    <xf numFmtId="0" fontId="8" fillId="3" borderId="0" xfId="0" applyFont="1" applyFill="1"/>
    <xf numFmtId="164" fontId="9" fillId="7" borderId="0" xfId="1" applyNumberFormat="1" applyFont="1" applyFill="1" applyBorder="1"/>
    <xf numFmtId="164" fontId="9" fillId="3" borderId="0" xfId="1" applyNumberFormat="1" applyFont="1" applyFill="1" applyBorder="1"/>
    <xf numFmtId="164" fontId="9" fillId="4" borderId="0" xfId="1" applyNumberFormat="1" applyFont="1" applyFill="1" applyBorder="1"/>
    <xf numFmtId="164" fontId="7" fillId="2" borderId="0" xfId="1" applyNumberFormat="1" applyFont="1" applyFill="1" applyBorder="1"/>
    <xf numFmtId="0" fontId="4" fillId="2" borderId="0" xfId="0" applyFont="1" applyFill="1" applyBorder="1"/>
    <xf numFmtId="164" fontId="7" fillId="3" borderId="8" xfId="1" applyNumberFormat="1" applyFont="1" applyFill="1" applyBorder="1"/>
    <xf numFmtId="0" fontId="5" fillId="3" borderId="0" xfId="0" applyFont="1" applyFill="1"/>
    <xf numFmtId="164" fontId="7" fillId="3" borderId="0" xfId="1" applyNumberFormat="1" applyFont="1" applyFill="1"/>
    <xf numFmtId="165" fontId="7" fillId="3" borderId="9" xfId="2" applyNumberFormat="1" applyFont="1" applyFill="1" applyBorder="1"/>
    <xf numFmtId="165" fontId="7" fillId="4" borderId="9" xfId="2" applyNumberFormat="1" applyFont="1" applyFill="1" applyBorder="1"/>
    <xf numFmtId="165" fontId="4" fillId="3" borderId="0" xfId="0" applyNumberFormat="1" applyFont="1" applyFill="1"/>
    <xf numFmtId="165" fontId="7" fillId="3" borderId="0" xfId="2" applyNumberFormat="1" applyFont="1" applyFill="1" applyBorder="1"/>
    <xf numFmtId="165" fontId="7" fillId="4" borderId="0" xfId="2" applyNumberFormat="1" applyFont="1" applyFill="1" applyBorder="1"/>
    <xf numFmtId="164" fontId="4" fillId="2" borderId="0" xfId="1" applyNumberFormat="1" applyFont="1" applyFill="1" applyBorder="1"/>
    <xf numFmtId="165" fontId="9" fillId="3" borderId="0" xfId="2" applyNumberFormat="1" applyFont="1" applyFill="1"/>
    <xf numFmtId="165" fontId="9" fillId="4" borderId="0" xfId="2" applyNumberFormat="1" applyFont="1" applyFill="1"/>
    <xf numFmtId="164" fontId="9" fillId="3" borderId="0" xfId="1" applyNumberFormat="1" applyFont="1" applyFill="1"/>
    <xf numFmtId="164" fontId="9" fillId="4" borderId="0" xfId="1" applyNumberFormat="1" applyFont="1" applyFill="1"/>
    <xf numFmtId="164" fontId="9" fillId="3" borderId="8" xfId="1" applyNumberFormat="1" applyFont="1" applyFill="1" applyBorder="1"/>
    <xf numFmtId="164" fontId="9" fillId="4" borderId="8" xfId="1" applyNumberFormat="1" applyFont="1" applyFill="1" applyBorder="1"/>
    <xf numFmtId="164" fontId="10" fillId="3" borderId="0" xfId="0" applyNumberFormat="1" applyFont="1" applyFill="1"/>
    <xf numFmtId="164" fontId="10" fillId="4" borderId="0" xfId="0" applyNumberFormat="1" applyFont="1" applyFill="1"/>
    <xf numFmtId="0" fontId="11" fillId="2" borderId="0" xfId="0" applyFont="1" applyFill="1"/>
    <xf numFmtId="164" fontId="9" fillId="4" borderId="0" xfId="1" applyNumberFormat="1" applyFont="1" applyFill="1" applyAlignment="1">
      <alignment horizontal="right"/>
    </xf>
    <xf numFmtId="164" fontId="9" fillId="3" borderId="0" xfId="1" applyNumberFormat="1" applyFont="1" applyFill="1" applyAlignment="1">
      <alignment horizontal="right"/>
    </xf>
    <xf numFmtId="164" fontId="12" fillId="3" borderId="0" xfId="1" applyNumberFormat="1" applyFont="1" applyFill="1"/>
    <xf numFmtId="164" fontId="10" fillId="3" borderId="7" xfId="1" applyNumberFormat="1" applyFont="1" applyFill="1" applyBorder="1"/>
    <xf numFmtId="164" fontId="10" fillId="4" borderId="7" xfId="1" applyNumberFormat="1" applyFont="1" applyFill="1" applyBorder="1"/>
    <xf numFmtId="164" fontId="10" fillId="3" borderId="0" xfId="1" applyNumberFormat="1" applyFont="1" applyFill="1" applyBorder="1"/>
    <xf numFmtId="164" fontId="10" fillId="4" borderId="0" xfId="1" applyNumberFormat="1" applyFont="1" applyFill="1" applyBorder="1"/>
    <xf numFmtId="43" fontId="9" fillId="3" borderId="0" xfId="1" applyFont="1" applyFill="1"/>
    <xf numFmtId="164" fontId="9" fillId="0" borderId="0" xfId="1" applyNumberFormat="1" applyFont="1" applyFill="1"/>
    <xf numFmtId="0" fontId="7" fillId="3" borderId="0" xfId="0" applyFont="1" applyFill="1"/>
    <xf numFmtId="0" fontId="11" fillId="3" borderId="0" xfId="0" applyFont="1" applyFill="1"/>
    <xf numFmtId="0" fontId="4" fillId="3" borderId="0" xfId="0" applyFont="1" applyFill="1" applyAlignment="1">
      <alignment horizontal="left" indent="2"/>
    </xf>
    <xf numFmtId="164" fontId="4" fillId="4" borderId="0" xfId="1" applyNumberFormat="1" applyFont="1" applyFill="1"/>
    <xf numFmtId="0" fontId="7" fillId="3" borderId="0" xfId="0" applyFont="1" applyFill="1" applyAlignment="1">
      <alignment horizontal="left"/>
    </xf>
    <xf numFmtId="164" fontId="8" fillId="3" borderId="0" xfId="1" applyNumberFormat="1" applyFont="1" applyFill="1"/>
    <xf numFmtId="164" fontId="13" fillId="3" borderId="0" xfId="1" applyNumberFormat="1" applyFont="1" applyFill="1"/>
    <xf numFmtId="0" fontId="5" fillId="2" borderId="0" xfId="0" applyFont="1" applyFill="1" applyAlignment="1">
      <alignment vertical="center"/>
    </xf>
    <xf numFmtId="164" fontId="4" fillId="4" borderId="0" xfId="0" applyNumberFormat="1" applyFont="1" applyFill="1"/>
    <xf numFmtId="164" fontId="4" fillId="3" borderId="0" xfId="0" applyNumberFormat="1" applyFont="1" applyFill="1"/>
    <xf numFmtId="164" fontId="11" fillId="2" borderId="0" xfId="0" applyNumberFormat="1" applyFont="1" applyFill="1"/>
    <xf numFmtId="164" fontId="15" fillId="3" borderId="0" xfId="1" applyNumberFormat="1" applyFont="1" applyFill="1"/>
    <xf numFmtId="43" fontId="4" fillId="3" borderId="0" xfId="0" applyNumberFormat="1" applyFont="1" applyFill="1"/>
    <xf numFmtId="164" fontId="10" fillId="3" borderId="9" xfId="1" applyNumberFormat="1" applyFont="1" applyFill="1" applyBorder="1"/>
    <xf numFmtId="164" fontId="7" fillId="4" borderId="9" xfId="1" applyNumberFormat="1" applyFont="1" applyFill="1" applyBorder="1"/>
    <xf numFmtId="164" fontId="7" fillId="3" borderId="9" xfId="1" applyNumberFormat="1" applyFont="1" applyFill="1" applyBorder="1"/>
    <xf numFmtId="164" fontId="7" fillId="5" borderId="9" xfId="1" applyNumberFormat="1" applyFont="1" applyFill="1" applyBorder="1"/>
    <xf numFmtId="164" fontId="7" fillId="6" borderId="9" xfId="1" applyNumberFormat="1" applyFont="1" applyFill="1" applyBorder="1"/>
    <xf numFmtId="165" fontId="7" fillId="6" borderId="9" xfId="2" applyNumberFormat="1" applyFont="1" applyFill="1" applyBorder="1"/>
    <xf numFmtId="165" fontId="7" fillId="3" borderId="10" xfId="2" applyNumberFormat="1" applyFont="1" applyFill="1" applyBorder="1"/>
    <xf numFmtId="165" fontId="7" fillId="6" borderId="10" xfId="2" applyNumberFormat="1" applyFont="1" applyFill="1" applyBorder="1"/>
    <xf numFmtId="164" fontId="4" fillId="3" borderId="0" xfId="1" applyNumberFormat="1" applyFont="1" applyFill="1" applyAlignment="1">
      <alignment horizontal="right"/>
    </xf>
    <xf numFmtId="43" fontId="4" fillId="3" borderId="0" xfId="1" applyNumberFormat="1" applyFont="1" applyFill="1"/>
    <xf numFmtId="43" fontId="4" fillId="3" borderId="0" xfId="1" applyFont="1" applyFill="1"/>
    <xf numFmtId="0" fontId="8" fillId="3" borderId="0" xfId="0" applyFont="1" applyFill="1" applyAlignment="1">
      <alignment horizontal="left" indent="2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hew/Desktop/Kristen/Lester%20PTA/Treasurer%202020%202021/Lester%20PTA%20-%20Preliminary%20Budget%20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hew/Desktop/Kristen/Lester%20PTA/Treasurer%202019%202020/Lester%20PTA%20-%20Treasurer's%20Report%20&amp;%20Budget%202019-20%20Budg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ester%20PTA%20-%20Treasurer's%20Report%202021-2022%20School%20Ye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asurer's Report (5.20.2020)"/>
      <sheetName val="Outstanding Items - (5.20.2020)"/>
      <sheetName val="Preliminary Budget (2020-21)"/>
      <sheetName val="Deposits (2019-20)"/>
      <sheetName val="Disbursements (2019-20)"/>
      <sheetName val="Treasurer's Report (4.22.2020)"/>
      <sheetName val="Outstanding Items - (4.2020)"/>
      <sheetName val="Treasurer's Report (2.19.20)"/>
      <sheetName val="Outstanding Items - (2.19.20)"/>
      <sheetName val="Treasurer's Report (1.22.20)"/>
      <sheetName val="Outstanding Items - (1.22.20)"/>
      <sheetName val="Treasurer's Report (11.20.19)"/>
      <sheetName val="Treasurer's Report (10.23.19)"/>
      <sheetName val="Outstanding Items - (10.23.19)"/>
      <sheetName val="Treasurer's Report (09.18.19)"/>
      <sheetName val="Outstanding Items - (09.18.19)"/>
      <sheetName val="Disb. by Program (2018-19)"/>
      <sheetName val="Deposits by Program (2018-19)"/>
      <sheetName val="pivot"/>
      <sheetName val="Audit Summary (2018-19)"/>
      <sheetName val="Outstanding Items - (06.30.19)"/>
    </sheetNames>
    <sheetDataSet>
      <sheetData sheetId="0">
        <row r="7">
          <cell r="F7">
            <v>261.7</v>
          </cell>
        </row>
        <row r="8">
          <cell r="E8"/>
        </row>
      </sheetData>
      <sheetData sheetId="1"/>
      <sheetData sheetId="2"/>
      <sheetData sheetId="3">
        <row r="63">
          <cell r="C63">
            <v>383.5</v>
          </cell>
        </row>
      </sheetData>
      <sheetData sheetId="4">
        <row r="37">
          <cell r="F37">
            <v>-92</v>
          </cell>
        </row>
        <row r="38">
          <cell r="F38">
            <v>-615</v>
          </cell>
        </row>
        <row r="45">
          <cell r="F45">
            <v>-652.5</v>
          </cell>
        </row>
        <row r="69">
          <cell r="F69">
            <v>-100</v>
          </cell>
        </row>
        <row r="84">
          <cell r="F84">
            <v>-1085</v>
          </cell>
        </row>
        <row r="86">
          <cell r="F86">
            <v>-400</v>
          </cell>
        </row>
        <row r="89">
          <cell r="F89">
            <v>-616.33000000000004</v>
          </cell>
        </row>
        <row r="99">
          <cell r="F99">
            <v>-337.9</v>
          </cell>
        </row>
        <row r="105">
          <cell r="F105">
            <v>-368.56</v>
          </cell>
        </row>
      </sheetData>
      <sheetData sheetId="5">
        <row r="8">
          <cell r="E8"/>
        </row>
        <row r="9">
          <cell r="E9"/>
        </row>
        <row r="13">
          <cell r="E13"/>
        </row>
        <row r="15">
          <cell r="E15"/>
          <cell r="F15">
            <v>-2302.56</v>
          </cell>
        </row>
        <row r="18">
          <cell r="E18"/>
          <cell r="F18">
            <v>-3000</v>
          </cell>
        </row>
      </sheetData>
      <sheetData sheetId="6"/>
      <sheetData sheetId="7">
        <row r="7">
          <cell r="E7"/>
        </row>
        <row r="8">
          <cell r="E8"/>
        </row>
        <row r="13">
          <cell r="E13"/>
        </row>
        <row r="14">
          <cell r="E14"/>
        </row>
        <row r="15">
          <cell r="E15"/>
          <cell r="F15">
            <v>-4862.9699999999993</v>
          </cell>
        </row>
      </sheetData>
      <sheetData sheetId="8"/>
      <sheetData sheetId="9">
        <row r="8">
          <cell r="E8"/>
        </row>
        <row r="10">
          <cell r="E10"/>
        </row>
        <row r="11">
          <cell r="E11"/>
        </row>
        <row r="17">
          <cell r="E17"/>
        </row>
        <row r="19">
          <cell r="E19"/>
          <cell r="F19">
            <v>-7587.71</v>
          </cell>
        </row>
        <row r="22">
          <cell r="E22"/>
        </row>
      </sheetData>
      <sheetData sheetId="10"/>
      <sheetData sheetId="11"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6">
          <cell r="E16"/>
        </row>
        <row r="17">
          <cell r="E17"/>
        </row>
        <row r="19">
          <cell r="E19"/>
          <cell r="F19">
            <v>-4906.46</v>
          </cell>
        </row>
        <row r="20">
          <cell r="E20"/>
        </row>
      </sheetData>
      <sheetData sheetId="12">
        <row r="9">
          <cell r="E9"/>
        </row>
        <row r="10">
          <cell r="E10"/>
        </row>
        <row r="14">
          <cell r="E14"/>
          <cell r="F14">
            <v>-1300</v>
          </cell>
        </row>
        <row r="15">
          <cell r="E15"/>
        </row>
        <row r="16">
          <cell r="E16"/>
          <cell r="F16">
            <v>-898.7</v>
          </cell>
        </row>
        <row r="19">
          <cell r="E19"/>
        </row>
        <row r="20">
          <cell r="E20"/>
        </row>
        <row r="21">
          <cell r="E21"/>
          <cell r="F21">
            <v>-4334.0300000000007</v>
          </cell>
        </row>
        <row r="22">
          <cell r="E22"/>
        </row>
        <row r="23">
          <cell r="E23"/>
          <cell r="F23">
            <v>-55</v>
          </cell>
        </row>
        <row r="24">
          <cell r="F24">
            <v>-275</v>
          </cell>
        </row>
        <row r="26">
          <cell r="E26"/>
          <cell r="F26">
            <v>-79.900000000000006</v>
          </cell>
        </row>
        <row r="27">
          <cell r="E27"/>
        </row>
        <row r="28">
          <cell r="E28"/>
          <cell r="F28">
            <v>-204</v>
          </cell>
        </row>
      </sheetData>
      <sheetData sheetId="13"/>
      <sheetData sheetId="14"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6">
          <cell r="E16"/>
        </row>
        <row r="17">
          <cell r="E17"/>
          <cell r="F17">
            <v>-2069.89</v>
          </cell>
        </row>
        <row r="19">
          <cell r="E19"/>
        </row>
        <row r="20">
          <cell r="E20"/>
        </row>
        <row r="21">
          <cell r="E21"/>
          <cell r="F21">
            <v>-665</v>
          </cell>
        </row>
        <row r="23">
          <cell r="E23"/>
          <cell r="F23">
            <v>-2333.4</v>
          </cell>
        </row>
        <row r="24">
          <cell r="E24"/>
          <cell r="F24">
            <v>-477</v>
          </cell>
        </row>
        <row r="25">
          <cell r="F25">
            <v>-62.94</v>
          </cell>
        </row>
      </sheetData>
      <sheetData sheetId="15"/>
      <sheetData sheetId="16">
        <row r="3">
          <cell r="A3" t="str">
            <v>Row Labels</v>
          </cell>
        </row>
        <row r="4">
          <cell r="D4">
            <v>-150</v>
          </cell>
        </row>
        <row r="65">
          <cell r="B65">
            <v>-665</v>
          </cell>
        </row>
        <row r="66">
          <cell r="B66">
            <v>-1221.5</v>
          </cell>
        </row>
        <row r="69">
          <cell r="B69">
            <v>-10</v>
          </cell>
        </row>
        <row r="70">
          <cell r="B70">
            <v>-90</v>
          </cell>
        </row>
      </sheetData>
      <sheetData sheetId="17">
        <row r="3">
          <cell r="A3" t="str">
            <v>Row Labels</v>
          </cell>
        </row>
      </sheetData>
      <sheetData sheetId="18">
        <row r="45">
          <cell r="G45">
            <v>31747.339999999989</v>
          </cell>
        </row>
        <row r="48">
          <cell r="I48">
            <v>30</v>
          </cell>
          <cell r="O48">
            <v>797.73</v>
          </cell>
          <cell r="P48">
            <v>9244.2099999999991</v>
          </cell>
          <cell r="Q48">
            <v>57</v>
          </cell>
          <cell r="R48">
            <v>5</v>
          </cell>
        </row>
        <row r="49">
          <cell r="D49">
            <v>50</v>
          </cell>
        </row>
        <row r="50">
          <cell r="D50">
            <v>20</v>
          </cell>
        </row>
        <row r="51">
          <cell r="D51">
            <v>262.38</v>
          </cell>
        </row>
        <row r="52">
          <cell r="D52">
            <v>173.19</v>
          </cell>
        </row>
        <row r="76">
          <cell r="G76">
            <v>31876.639999999999</v>
          </cell>
          <cell r="I76">
            <v>1916</v>
          </cell>
        </row>
        <row r="77">
          <cell r="D77">
            <v>-20</v>
          </cell>
        </row>
        <row r="78">
          <cell r="D78">
            <v>-20</v>
          </cell>
        </row>
        <row r="79">
          <cell r="D79">
            <v>33398.019999999997</v>
          </cell>
        </row>
        <row r="80">
          <cell r="D80">
            <v>2420</v>
          </cell>
        </row>
        <row r="82">
          <cell r="G82">
            <v>351.95</v>
          </cell>
        </row>
        <row r="83">
          <cell r="D83">
            <v>100</v>
          </cell>
        </row>
        <row r="84">
          <cell r="D84">
            <v>51.5</v>
          </cell>
        </row>
        <row r="86">
          <cell r="D86">
            <v>3000</v>
          </cell>
        </row>
        <row r="87">
          <cell r="D87">
            <v>679.38</v>
          </cell>
        </row>
        <row r="88">
          <cell r="D88">
            <v>260</v>
          </cell>
        </row>
        <row r="89">
          <cell r="D89">
            <v>50</v>
          </cell>
        </row>
        <row r="91">
          <cell r="D91">
            <v>75</v>
          </cell>
        </row>
      </sheetData>
      <sheetData sheetId="19">
        <row r="157">
          <cell r="D157">
            <v>-630</v>
          </cell>
        </row>
      </sheetData>
      <sheetData sheetId="20">
        <row r="13">
          <cell r="E13">
            <v>637.07000000000005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asurer's Report (5.19.2021)"/>
      <sheetName val="Outstanding Items (5.19.2021)"/>
      <sheetName val="Budget (2020-21)"/>
      <sheetName val="Disbursements"/>
      <sheetName val="Deposits"/>
      <sheetName val="Treasurer's Report (4.21.2021)"/>
      <sheetName val="Outstanding Items (04.21.2021)"/>
      <sheetName val="Treasurer's Report (2.2021)"/>
      <sheetName val="Outstanding Items (02.17.2021)"/>
      <sheetName val="Treasurer's Report (1.20.2021)"/>
      <sheetName val="Outstanding Items (01.20.2021)"/>
      <sheetName val="Treasurer's Report (11.18.2020)"/>
      <sheetName val="Outstanding Items (11.18.2020)"/>
      <sheetName val="Budget (2019-20)"/>
      <sheetName val="Treasurer's Report (10.2020)"/>
      <sheetName val="Outstanding Items (10.2020)"/>
      <sheetName val="Treasurer's Report (9.30.2020)"/>
      <sheetName val="Outstanding Items (9.2020)"/>
      <sheetName val="Treasurer's Report (5.20.2020)"/>
      <sheetName val="Outstanding Items - (5.20.2020)"/>
      <sheetName val="Treasurer's Report (4.22.2020)"/>
      <sheetName val="Outstanding Items - (4.2020)"/>
      <sheetName val="Treasurer's Report (2.19.20)"/>
      <sheetName val="Outstanding Items - (2.19.20)"/>
      <sheetName val="Treasurer's Report (1.22.20)"/>
      <sheetName val="Outstanding Items - (1.22.20)"/>
      <sheetName val="Treasurer's Report (11.20.19)"/>
      <sheetName val="Treasurer's Report (10.23.19)"/>
      <sheetName val="Outstanding Items - (10.23.19)"/>
      <sheetName val="Treasurer's Report (09.18.19)"/>
      <sheetName val="Outstanding Items - (09.18.19)"/>
      <sheetName val="Disb. by Program (2018-19)"/>
      <sheetName val="Deposits by Program (2018-19)"/>
      <sheetName val="pivot"/>
      <sheetName val="Audit Summary (2018-19)"/>
      <sheetName val="Outstanding Items - (06.30.19)"/>
    </sheetNames>
    <sheetDataSet>
      <sheetData sheetId="0"/>
      <sheetData sheetId="1"/>
      <sheetData sheetId="2"/>
      <sheetData sheetId="3"/>
      <sheetData sheetId="4"/>
      <sheetData sheetId="5">
        <row r="15">
          <cell r="F15">
            <v>-55</v>
          </cell>
        </row>
      </sheetData>
      <sheetData sheetId="6"/>
      <sheetData sheetId="7">
        <row r="12">
          <cell r="F12">
            <v>-1782</v>
          </cell>
        </row>
      </sheetData>
      <sheetData sheetId="8"/>
      <sheetData sheetId="9">
        <row r="16">
          <cell r="F16">
            <v>-225</v>
          </cell>
        </row>
        <row r="18">
          <cell r="F18">
            <v>-26.48</v>
          </cell>
        </row>
      </sheetData>
      <sheetData sheetId="10"/>
      <sheetData sheetId="11">
        <row r="13">
          <cell r="F13">
            <v>-400</v>
          </cell>
        </row>
        <row r="14">
          <cell r="F14">
            <v>-668.44</v>
          </cell>
        </row>
      </sheetData>
      <sheetData sheetId="12"/>
      <sheetData sheetId="13"/>
      <sheetData sheetId="14">
        <row r="12">
          <cell r="F12">
            <v>-100</v>
          </cell>
        </row>
        <row r="14">
          <cell r="F14">
            <v>-401.5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asurer's Report (5.18.22)"/>
      <sheetName val="Outstanding Items (5.18.22)"/>
      <sheetName val="Disbursements"/>
      <sheetName val="Deposits"/>
      <sheetName val="Treasurer's Report (4.20.2022)"/>
      <sheetName val="Outstanding Items (4.20.2022)"/>
      <sheetName val="Treasurer's Report (2.16.2022)"/>
      <sheetName val="Outstanding Items (2.16.2022)"/>
      <sheetName val="Treasurer's Report (1.19.2022)"/>
      <sheetName val="Outstanding Items (1.19.2022)"/>
      <sheetName val="Treasurer's Report (11.17.2021)"/>
      <sheetName val="Outstanding Items (11.17.2021)"/>
      <sheetName val="Treasurer's Report (10.20.21)"/>
      <sheetName val="Outstanding Items (10.20.21)"/>
      <sheetName val="Treasurer's Report (9.15.21)"/>
      <sheetName val="Outstanding Items (9.15.2021)"/>
      <sheetName val="Treasurer's Report (6.30.2021)"/>
      <sheetName val="Outstanding Items (6.30.2021)"/>
      <sheetName val="Treasurer's Report (5.19.2021)"/>
      <sheetName val="Outstanding Items (5.19.2021)"/>
      <sheetName val="Budget (2020-21)"/>
      <sheetName val="Treasurer's Report (4.21.2021)"/>
      <sheetName val="Outstanding Items (04.21.2021)"/>
      <sheetName val="Treasurer's Report (2.2021)"/>
      <sheetName val="Outstanding Items (02.17.2021)"/>
      <sheetName val="Treasurer's Report (1.20.2021)"/>
      <sheetName val="Outstanding Items (01.20.2021)"/>
      <sheetName val="Treasurer's Report (11.18.2020)"/>
      <sheetName val="Outstanding Items (11.18.2020)"/>
      <sheetName val="Budget (2019-20)"/>
      <sheetName val="Treasurer's Report (10.2020)"/>
      <sheetName val="Outstanding Items (10.2020)"/>
      <sheetName val="Treasurer's Report (9.30.2020)"/>
      <sheetName val="Outstanding Items (9.2020)"/>
      <sheetName val="Treasurer's Report (5.20.2020)"/>
      <sheetName val="Outstanding Items - (5.20.2020)"/>
      <sheetName val="Treasurer's Report (4.22.2020)"/>
      <sheetName val="Outstanding Items - (4.2020)"/>
      <sheetName val="Treasurer's Report (2.19.20)"/>
      <sheetName val="Outstanding Items - (2.19.20)"/>
      <sheetName val="Treasurer's Report (1.22.20)"/>
      <sheetName val="Outstanding Items - (1.22.20)"/>
      <sheetName val="Treasurer's Report (11.20.19)"/>
      <sheetName val="Treasurer's Report (10.23.19)"/>
      <sheetName val="Outstanding Items - (10.23.19)"/>
      <sheetName val="Treasurer's Report (09.18.19)"/>
      <sheetName val="Outstanding Items - (09.18.19)"/>
      <sheetName val="Disb. by Program (2018-19)"/>
      <sheetName val="Deposits by Program (2018-19)"/>
      <sheetName val="pivot"/>
      <sheetName val="Audit Summary (2018-19)"/>
      <sheetName val="Outstanding Items - (06.30.19)"/>
    </sheetNames>
    <sheetDataSet>
      <sheetData sheetId="0"/>
      <sheetData sheetId="1"/>
      <sheetData sheetId="2">
        <row r="429">
          <cell r="F429">
            <v>-62032.700000000019</v>
          </cell>
        </row>
      </sheetData>
      <sheetData sheetId="3">
        <row r="578">
          <cell r="C578">
            <v>92138.429999999964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risten Wiklund" id="{76AB11CC-5E9C-467B-963B-2503E02308B8}" userId="S::kwiklund@westtd.com::2cd5d9cb-7112-4b23-94d5-48d654a8615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8" dT="2022-01-20T14:47:25.13" personId="{76AB11CC-5E9C-467B-963B-2503E02308B8}" id="{B64CEBF2-D52B-44C4-817B-3B702DF8E1C9}">
    <text>Computershare/KCC Settlement</text>
  </threadedComment>
  <threadedComment ref="F28" dT="2022-01-20T14:58:46.86" personId="{76AB11CC-5E9C-467B-963B-2503E02308B8}" id="{CD160CC7-63A2-4247-A9F1-34314B8D6148}" parentId="{B64CEBF2-D52B-44C4-817B-3B702DF8E1C9}">
    <text>Also includes final payment for 2021 year books 72.46</text>
  </threadedComment>
  <threadedComment ref="F28" dT="2022-03-09T22:50:12.17" personId="{76AB11CC-5E9C-467B-963B-2503E02308B8}" id="{F2C07C7E-5DFC-4BEE-B1A5-7E7EF93B7CE7}" parentId="{B64CEBF2-D52B-44C4-817B-3B702DF8E1C9}">
    <text>Also includes $2,170.00 received for 6th grade yearbooks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2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9.1796875" defaultRowHeight="15.5" x14ac:dyDescent="0.35"/>
  <cols>
    <col min="1" max="1" width="4" style="1" customWidth="1"/>
    <col min="2" max="2" width="76.36328125" style="1" bestFit="1" customWidth="1"/>
    <col min="3" max="4" width="14.26953125" style="1" hidden="1" customWidth="1"/>
    <col min="5" max="5" width="15.90625" style="1" bestFit="1" customWidth="1"/>
    <col min="6" max="6" width="13.7265625" style="1" customWidth="1"/>
    <col min="7" max="7" width="22.7265625" style="1" customWidth="1"/>
    <col min="8" max="8" width="13.7265625" style="1" customWidth="1"/>
    <col min="9" max="9" width="13.54296875" style="1" customWidth="1"/>
    <col min="10" max="10" width="13.7265625" style="1" customWidth="1"/>
    <col min="11" max="11" width="14.26953125" style="1" customWidth="1"/>
    <col min="12" max="12" width="14.26953125" style="1" hidden="1" customWidth="1"/>
    <col min="13" max="13" width="0.7265625" style="2" customWidth="1"/>
    <col min="14" max="14" width="9.7265625" style="2" customWidth="1"/>
    <col min="15" max="15" width="9.1796875" style="2" customWidth="1"/>
    <col min="16" max="16384" width="9.1796875" style="1"/>
  </cols>
  <sheetData>
    <row r="1" spans="1:15" x14ac:dyDescent="0.3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5" ht="16" customHeight="1" thickBot="1" x14ac:dyDescent="0.4">
      <c r="A2" s="91" t="s">
        <v>111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3"/>
      <c r="M2" s="3"/>
    </row>
    <row r="3" spans="1:15" ht="16" thickTop="1" x14ac:dyDescent="0.35">
      <c r="A3" s="4"/>
      <c r="B3" s="5"/>
      <c r="C3" s="6" t="s">
        <v>1</v>
      </c>
      <c r="D3" s="6" t="s">
        <v>100</v>
      </c>
      <c r="E3" s="6" t="s">
        <v>112</v>
      </c>
      <c r="F3" s="6" t="s">
        <v>100</v>
      </c>
      <c r="G3" s="6" t="s">
        <v>100</v>
      </c>
      <c r="H3" s="6" t="s">
        <v>1</v>
      </c>
      <c r="I3" s="6" t="s">
        <v>1</v>
      </c>
      <c r="J3" s="6" t="s">
        <v>2</v>
      </c>
      <c r="K3" s="6" t="s">
        <v>2</v>
      </c>
      <c r="L3" s="6" t="s">
        <v>3</v>
      </c>
      <c r="M3" s="6"/>
      <c r="N3" s="1"/>
      <c r="O3" s="1"/>
    </row>
    <row r="4" spans="1:15" ht="16" thickBot="1" x14ac:dyDescent="0.4">
      <c r="A4" s="7"/>
      <c r="B4" s="8"/>
      <c r="C4" s="9" t="s">
        <v>4</v>
      </c>
      <c r="D4" s="9" t="s">
        <v>6</v>
      </c>
      <c r="E4" s="9" t="s">
        <v>113</v>
      </c>
      <c r="F4" s="9" t="s">
        <v>4</v>
      </c>
      <c r="G4" s="9" t="s">
        <v>5</v>
      </c>
      <c r="H4" s="9" t="s">
        <v>4</v>
      </c>
      <c r="I4" s="9" t="s">
        <v>5</v>
      </c>
      <c r="J4" s="9" t="s">
        <v>4</v>
      </c>
      <c r="K4" s="9" t="s">
        <v>5</v>
      </c>
      <c r="L4" s="9" t="s">
        <v>6</v>
      </c>
      <c r="M4" s="9"/>
      <c r="N4" s="1"/>
      <c r="O4" s="1"/>
    </row>
    <row r="5" spans="1:15" ht="6" customHeight="1" thickTop="1" x14ac:dyDescent="0.35">
      <c r="C5" s="10"/>
      <c r="D5" s="10"/>
      <c r="E5" s="10"/>
      <c r="F5" s="10"/>
      <c r="G5" s="10"/>
      <c r="H5" s="10"/>
      <c r="I5" s="10"/>
      <c r="J5" s="10"/>
      <c r="K5" s="10"/>
      <c r="L5" s="10"/>
      <c r="N5" s="1"/>
      <c r="O5" s="1"/>
    </row>
    <row r="6" spans="1:15" ht="16" thickBot="1" x14ac:dyDescent="0.4">
      <c r="A6" s="90" t="s">
        <v>7</v>
      </c>
      <c r="B6" s="90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"/>
      <c r="O6" s="1"/>
    </row>
    <row r="7" spans="1:15" ht="16" thickTop="1" x14ac:dyDescent="0.35">
      <c r="A7" s="13"/>
      <c r="B7" s="14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3"/>
      <c r="M7" s="16"/>
      <c r="N7" s="17"/>
      <c r="O7" s="1"/>
    </row>
    <row r="8" spans="1:15" x14ac:dyDescent="0.35">
      <c r="B8" s="1" t="s">
        <v>9</v>
      </c>
      <c r="C8" s="18">
        <f>'[1]Treasurer''s Report (1.22.20)'!E11+'[1]Treasurer''s Report (11.20.19)'!E12+'[1]Treasurer''s Report (11.20.19)'!E20+'[1]Treasurer''s Report (10.23.19)'!E9+'[1]Treasurer''s Report (10.23.19)'!E22+'[1]Treasurer''s Report (09.18.19)'!E10+'[1]Treasurer''s Report (09.18.19)'!E19</f>
        <v>0</v>
      </c>
      <c r="D8" s="18"/>
      <c r="E8" s="19">
        <v>22000</v>
      </c>
      <c r="F8" s="18">
        <f>-117.88-353.63-133.82-3368.39-865.4-1112+500+500+500+500+500+500+500+500+500+200+500+1514.84+1872.09+500+500+500+350+500+723.69+409.96+337.75+1456.67+708.76+255.72+96.5+810.59+361.87+2334.74+1283.45+920.92+200+1389.23+636.89+365.26+241.24+342.57+19.3+70.9+260.32+9.65+48.25+149.57+299.06+80+77.2+24.12+154.39+120.62+101.32+96.5+265.26+38.6+1205+72.37+48.25+38.6+154.4+105+115.8+77.2+19.3</f>
        <v>21512.599999999995</v>
      </c>
      <c r="G8" s="20">
        <v>20000</v>
      </c>
      <c r="H8" s="18">
        <v>12429</v>
      </c>
      <c r="I8" s="20">
        <v>15000</v>
      </c>
      <c r="J8" s="18">
        <v>29879</v>
      </c>
      <c r="K8" s="20">
        <v>30000</v>
      </c>
      <c r="L8" s="20" t="e">
        <f>+GETPIVOTDATA("Amount",'[1]Disb. by Program (2018-19)'!$A$3,"Program","Fun Run (2019 Deposit)")+GETPIVOTDATA("Amount",'[1]Disb. by Program (2018-19)'!$A$3,"Program","Fun Run (Experience)")+GETPIVOTDATA("Amount",'[1]Disb. by Program (2018-19)'!$A$3,"Program","Fun Run (Paw Print printing)")+GETPIVOTDATA("Amount",'[1]Disb. by Program (2018-19)'!$A$3,"Program","Fun Run (Reimbursement)")+GETPIVOTDATA("Amount",'[1]Disb. by Program (2018-19)'!$A$3,"Program","Fun Run (Timing)")+GETPIVOTDATA("Amount",'[1]Disb. by Program (2018-19)'!$A$3,"Program","Fun Run (T-Shirts)")+GETPIVOTDATA("Amount",'[1]Disb. by Program (2018-19)'!$A$3,"Program","Fun Run &amp; Fit Boys Reimbursement")+L40+[1]pivot!G45+[1]pivot!P48+[1]pivot!D49+[1]pivot!D83+150</f>
        <v>#REF!</v>
      </c>
      <c r="N8" s="21"/>
      <c r="O8" s="1"/>
    </row>
    <row r="9" spans="1:15" x14ac:dyDescent="0.35">
      <c r="B9" s="1" t="s">
        <v>10</v>
      </c>
      <c r="C9" s="22">
        <v>0</v>
      </c>
      <c r="D9" s="22"/>
      <c r="E9" s="23">
        <v>30000</v>
      </c>
      <c r="F9" s="22">
        <f>-455-2341.35-700+48.25+600+250+600+137.9+180.36+166.61+323.42+561.45+489.56+9.65+4.82+5+9.82+9.65+5+68.78+718.38+1679.42+8692.78+91.71+250+250+100+600+250+250+4021.81+3409.27+18904.01+140+57.9+38.6+58.95+88.6+24.12-90-119.58-4903.65-211.64-52.9-10-10.23-1752+600+600+350+1303.19+295.8+90+97.55+90+1243.18+24.12+48.02+0.01+115.8+248.26+50+48.25+43.42-712.74+48.25</f>
        <v>37032.580000000009</v>
      </c>
      <c r="G9" s="24">
        <v>30000</v>
      </c>
      <c r="H9" s="22">
        <v>28588</v>
      </c>
      <c r="I9" s="24">
        <v>20000</v>
      </c>
      <c r="J9" s="22">
        <v>40600</v>
      </c>
      <c r="K9" s="24">
        <v>30000</v>
      </c>
      <c r="L9" s="24" t="e">
        <f>+GETPIVOTDATA("Amount",'[1]Disb. by Program (2018-19)'!$A$3,"Program","Winter Fundraiser")+GETPIVOTDATA("Amount",'[1]Disb. by Program (2018-19)'!$A$3,"Program","Winter Fundraiser (Reimbursement)")+[1]pivot!G76+[1]pivot!I76+[1]pivot!D84+[1]pivot!D89+[1]pivot!D91</f>
        <v>#REF!</v>
      </c>
      <c r="N9" s="21"/>
      <c r="O9" s="1"/>
    </row>
    <row r="10" spans="1:15" x14ac:dyDescent="0.35">
      <c r="B10" s="25" t="s">
        <v>11</v>
      </c>
      <c r="C10" s="26">
        <f>SUM(C8:C9)</f>
        <v>0</v>
      </c>
      <c r="D10" s="26"/>
      <c r="E10" s="26">
        <f t="shared" ref="E10:J10" si="0">SUM(E8:E9)</f>
        <v>52000</v>
      </c>
      <c r="F10" s="26">
        <f t="shared" si="0"/>
        <v>58545.180000000008</v>
      </c>
      <c r="G10" s="26">
        <f t="shared" si="0"/>
        <v>50000</v>
      </c>
      <c r="H10" s="26">
        <f t="shared" si="0"/>
        <v>41017</v>
      </c>
      <c r="I10" s="26">
        <f t="shared" si="0"/>
        <v>35000</v>
      </c>
      <c r="J10" s="26">
        <f t="shared" si="0"/>
        <v>70479</v>
      </c>
      <c r="K10" s="27">
        <f>+K8+K9</f>
        <v>60000</v>
      </c>
      <c r="L10" s="27" t="e">
        <f>+L8+L9</f>
        <v>#REF!</v>
      </c>
      <c r="N10" s="1"/>
      <c r="O10" s="1"/>
    </row>
    <row r="11" spans="1:15" ht="7.5" customHeight="1" x14ac:dyDescent="0.35">
      <c r="C11" s="22"/>
      <c r="D11" s="22"/>
      <c r="E11" s="22"/>
      <c r="F11" s="22"/>
      <c r="G11" s="22"/>
      <c r="H11" s="22"/>
      <c r="I11" s="22"/>
      <c r="J11" s="22"/>
      <c r="K11" s="22"/>
      <c r="L11" s="22"/>
      <c r="N11" s="1"/>
      <c r="O11" s="1"/>
    </row>
    <row r="12" spans="1:15" x14ac:dyDescent="0.35">
      <c r="A12" s="28"/>
      <c r="B12" s="29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28"/>
      <c r="M12" s="12"/>
      <c r="N12" s="1"/>
      <c r="O12" s="1"/>
    </row>
    <row r="13" spans="1:15" x14ac:dyDescent="0.35">
      <c r="B13" s="1" t="s">
        <v>13</v>
      </c>
      <c r="C13" s="22">
        <v>0</v>
      </c>
      <c r="D13" s="22"/>
      <c r="E13" s="23">
        <v>0</v>
      </c>
      <c r="F13" s="22">
        <f>63.5+15.1</f>
        <v>78.599999999999994</v>
      </c>
      <c r="G13" s="24">
        <v>150</v>
      </c>
      <c r="H13" s="22">
        <v>138</v>
      </c>
      <c r="I13" s="24">
        <v>750</v>
      </c>
      <c r="J13" s="22">
        <v>645</v>
      </c>
      <c r="K13" s="24">
        <v>1000</v>
      </c>
      <c r="L13" s="24">
        <f>403.3+713.3</f>
        <v>1116.5999999999999</v>
      </c>
      <c r="N13" s="31"/>
      <c r="O13" s="1"/>
    </row>
    <row r="14" spans="1:15" x14ac:dyDescent="0.35">
      <c r="B14" s="1" t="s">
        <v>14</v>
      </c>
      <c r="C14" s="22">
        <f>'[1]Treasurer''s Report (09.18.19)'!E8+'[1]Treasurer''s Report (11.20.19)'!E9+'[1]Treasurer''s Report (11.20.19)'!E17+'[1]Treasurer''s Report (11.20.19)'!E10+'[1]Treasurer''s Report (1.22.20)'!E8</f>
        <v>0</v>
      </c>
      <c r="D14" s="22"/>
      <c r="E14" s="23">
        <v>2500</v>
      </c>
      <c r="F14" s="22">
        <f>-1413+66.56+55.7+16.95+56.06+245+20+732.22+68+48+48+32+32+16+48+64+32+64+128+176+16+16+48+48+32+96+16+16+64+16+32+48+48+32+32+16+32+16+32+16+160+16+32+32+48+16+48+16+48+16+32+48+32+32+38.75+85.85+153.06+200+470.73+107.59+100+5.79</f>
        <v>2945.26</v>
      </c>
      <c r="G14" s="24">
        <v>2500</v>
      </c>
      <c r="H14" s="22">
        <v>1331</v>
      </c>
      <c r="I14" s="24">
        <v>2500</v>
      </c>
      <c r="J14" s="22">
        <v>1634</v>
      </c>
      <c r="K14" s="24">
        <v>2500</v>
      </c>
      <c r="L14" s="24">
        <f>+[1]pivot!O48+[1]pivot!D51+[1]pivot!G82+[1]pivot!D87+[1]pivot!D88-150</f>
        <v>2201.44</v>
      </c>
      <c r="N14" s="1"/>
      <c r="O14" s="1"/>
    </row>
    <row r="15" spans="1:15" x14ac:dyDescent="0.35">
      <c r="B15" s="1" t="s">
        <v>15</v>
      </c>
      <c r="C15" s="22">
        <f>+'[1]Treasurer''s Report (09.18.19)'!E11+'[1]Treasurer''s Report (09.18.19)'!E9</f>
        <v>0</v>
      </c>
      <c r="D15" s="22"/>
      <c r="E15" s="23">
        <v>200</v>
      </c>
      <c r="F15" s="22"/>
      <c r="G15" s="24">
        <v>200</v>
      </c>
      <c r="H15" s="22">
        <v>363</v>
      </c>
      <c r="I15" s="24">
        <v>200</v>
      </c>
      <c r="J15" s="22">
        <v>190</v>
      </c>
      <c r="K15" s="24">
        <v>1000</v>
      </c>
      <c r="L15" s="24">
        <f>+[1]pivot!R48</f>
        <v>5</v>
      </c>
      <c r="N15" s="1"/>
      <c r="O15" s="1"/>
    </row>
    <row r="16" spans="1:15" x14ac:dyDescent="0.35">
      <c r="B16" s="1" t="s">
        <v>16</v>
      </c>
      <c r="C16" s="22">
        <f>'[1]Treasurer''s Report (09.18.19)'!E12+'[1]Treasurer''s Report (09.18.19)'!E24+'[1]Treasurer''s Report (10.23.19)'!E10+'[1]Treasurer''s Report (10.23.19)'!E23+'[1]Treasurer''s Report (11.20.19)'!E13</f>
        <v>0</v>
      </c>
      <c r="D16" s="22"/>
      <c r="E16" s="32">
        <v>2000</v>
      </c>
      <c r="F16" s="33">
        <f>20+20+20+20+510+440+510+451+25+19.3+5+20+20+20</f>
        <v>2100.3000000000002</v>
      </c>
      <c r="G16" s="34">
        <v>1800</v>
      </c>
      <c r="H16" s="33">
        <v>1826</v>
      </c>
      <c r="I16" s="34">
        <v>1250</v>
      </c>
      <c r="J16" s="22">
        <v>1123</v>
      </c>
      <c r="K16" s="34">
        <v>3500</v>
      </c>
      <c r="L16" s="34" t="e">
        <f>+GETPIVOTDATA("Amount",'[1]Deposits by Program (2018-19)'!$A$3,"Payee","PayPal (Membership Dues)")+[1]pivot!I48+[1]pivot!D50</f>
        <v>#REF!</v>
      </c>
      <c r="N16" s="31"/>
      <c r="O16" s="1"/>
    </row>
    <row r="17" spans="1:15" x14ac:dyDescent="0.35">
      <c r="B17" s="1" t="s">
        <v>17</v>
      </c>
      <c r="C17" s="33">
        <v>0</v>
      </c>
      <c r="D17" s="33"/>
      <c r="E17" s="32">
        <v>3000</v>
      </c>
      <c r="F17" s="33">
        <v>141.1</v>
      </c>
      <c r="G17" s="34">
        <v>3000</v>
      </c>
      <c r="H17" s="33">
        <v>0</v>
      </c>
      <c r="I17" s="34">
        <v>3000</v>
      </c>
      <c r="J17" s="33">
        <v>1201</v>
      </c>
      <c r="K17" s="34">
        <v>3000</v>
      </c>
      <c r="L17" s="34">
        <v>3000</v>
      </c>
      <c r="N17" s="1"/>
      <c r="O17" s="1"/>
    </row>
    <row r="18" spans="1:15" x14ac:dyDescent="0.35">
      <c r="B18" s="25" t="s">
        <v>18</v>
      </c>
      <c r="C18" s="26">
        <f t="shared" ref="C18:L18" si="1">SUM(C13:C17)</f>
        <v>0</v>
      </c>
      <c r="D18" s="26"/>
      <c r="E18" s="27">
        <f>SUM(E13:E17)</f>
        <v>7700</v>
      </c>
      <c r="F18" s="26">
        <f t="shared" ref="F18" si="2">SUM(F13:F17)</f>
        <v>5265.26</v>
      </c>
      <c r="G18" s="27">
        <f>SUM(G13:G17)</f>
        <v>7650</v>
      </c>
      <c r="H18" s="26">
        <f t="shared" si="1"/>
        <v>3658</v>
      </c>
      <c r="I18" s="27">
        <f t="shared" si="1"/>
        <v>7700</v>
      </c>
      <c r="J18" s="26">
        <f t="shared" si="1"/>
        <v>4793</v>
      </c>
      <c r="K18" s="27">
        <f t="shared" si="1"/>
        <v>11000</v>
      </c>
      <c r="L18" s="27" t="e">
        <f t="shared" si="1"/>
        <v>#REF!</v>
      </c>
      <c r="N18" s="1"/>
      <c r="O18" s="1"/>
    </row>
    <row r="19" spans="1:15" ht="7.5" customHeight="1" x14ac:dyDescent="0.3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1"/>
      <c r="O19" s="1"/>
    </row>
    <row r="20" spans="1:15" x14ac:dyDescent="0.35">
      <c r="A20" s="28"/>
      <c r="B20" s="29" t="s">
        <v>19</v>
      </c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12"/>
      <c r="N20" s="1"/>
      <c r="O20" s="1"/>
    </row>
    <row r="21" spans="1:15" x14ac:dyDescent="0.35">
      <c r="B21" s="25" t="s">
        <v>19</v>
      </c>
      <c r="C21" s="37">
        <f t="shared" ref="C21:L21" si="3">+C10+C18</f>
        <v>0</v>
      </c>
      <c r="D21" s="37"/>
      <c r="E21" s="37">
        <f>+E10+E18</f>
        <v>59700</v>
      </c>
      <c r="F21" s="37">
        <f t="shared" ref="F21" si="4">+F10+F18</f>
        <v>63810.44000000001</v>
      </c>
      <c r="G21" s="37">
        <f>+G10+G18</f>
        <v>57650</v>
      </c>
      <c r="H21" s="37">
        <f t="shared" si="3"/>
        <v>44675</v>
      </c>
      <c r="I21" s="37">
        <f t="shared" si="3"/>
        <v>42700</v>
      </c>
      <c r="J21" s="37">
        <f t="shared" si="3"/>
        <v>75272</v>
      </c>
      <c r="K21" s="37">
        <f t="shared" si="3"/>
        <v>71000</v>
      </c>
      <c r="L21" s="37" t="e">
        <f t="shared" si="3"/>
        <v>#REF!</v>
      </c>
      <c r="N21" s="1"/>
      <c r="O21" s="1"/>
    </row>
    <row r="22" spans="1:15" ht="13.5" customHeight="1" x14ac:dyDescent="0.35">
      <c r="B22" s="38"/>
      <c r="C22" s="39"/>
      <c r="D22" s="39"/>
      <c r="E22" s="39"/>
      <c r="F22" s="39"/>
      <c r="G22" s="39"/>
      <c r="H22" s="39"/>
      <c r="I22" s="39"/>
      <c r="J22" s="39"/>
      <c r="K22" s="39"/>
      <c r="N22" s="1"/>
      <c r="O22" s="1"/>
    </row>
    <row r="23" spans="1:15" x14ac:dyDescent="0.35">
      <c r="A23" s="28"/>
      <c r="B23" s="29" t="s">
        <v>20</v>
      </c>
      <c r="C23" s="30"/>
      <c r="D23" s="30"/>
      <c r="E23" s="30"/>
      <c r="F23" s="30"/>
      <c r="G23" s="30"/>
      <c r="H23" s="30"/>
      <c r="I23" s="30"/>
      <c r="J23" s="30"/>
      <c r="K23" s="30"/>
      <c r="L23" s="28"/>
      <c r="M23" s="12"/>
      <c r="N23" s="1"/>
      <c r="O23" s="1"/>
    </row>
    <row r="24" spans="1:15" x14ac:dyDescent="0.35">
      <c r="B24" s="1" t="s">
        <v>21</v>
      </c>
      <c r="C24" s="22">
        <f>'[1]Treasurer''s Report (4.22.2020)'!E8+'[1]Treasurer''s Report (2.19.20)'!E7</f>
        <v>0</v>
      </c>
      <c r="D24" s="22"/>
      <c r="E24" s="23">
        <v>3000</v>
      </c>
      <c r="F24" s="22">
        <f>1812+207.99+268.42</f>
        <v>2288.41</v>
      </c>
      <c r="G24" s="24">
        <v>3000</v>
      </c>
      <c r="H24" s="22">
        <v>0</v>
      </c>
      <c r="I24" s="24">
        <v>3000</v>
      </c>
      <c r="J24" s="22">
        <v>3840</v>
      </c>
      <c r="K24" s="24">
        <v>3000</v>
      </c>
      <c r="L24" s="24">
        <f>+[1]pivot!D80</f>
        <v>2420</v>
      </c>
      <c r="N24" s="1"/>
      <c r="O24" s="1"/>
    </row>
    <row r="25" spans="1:15" x14ac:dyDescent="0.35">
      <c r="B25" s="1" t="s">
        <v>22</v>
      </c>
      <c r="C25" s="22">
        <v>0</v>
      </c>
      <c r="D25" s="22"/>
      <c r="E25" s="23">
        <v>3000</v>
      </c>
      <c r="F25" s="22">
        <v>2402</v>
      </c>
      <c r="G25" s="24">
        <v>3000</v>
      </c>
      <c r="H25" s="22">
        <v>0</v>
      </c>
      <c r="I25" s="24">
        <v>3000</v>
      </c>
      <c r="J25" s="22">
        <v>0</v>
      </c>
      <c r="K25" s="24">
        <v>3000</v>
      </c>
      <c r="L25" s="24">
        <f>+[1]pivot!D86</f>
        <v>3000</v>
      </c>
      <c r="N25" s="17"/>
      <c r="O25" s="1"/>
    </row>
    <row r="26" spans="1:15" x14ac:dyDescent="0.35">
      <c r="B26" s="1" t="s">
        <v>23</v>
      </c>
      <c r="C26" s="22">
        <f>'[1]Treasurer''s Report (11.20.19)'!E11+'[1]Treasurer''s Report (1.22.20)'!E10+'[1]Treasurer''s Report (2.19.20)'!E8+'[1]Treasurer''s Report (4.22.2020)'!E9+'[1]Treasurer''s Report (5.20.2020)'!E8</f>
        <v>0</v>
      </c>
      <c r="D26" s="22"/>
      <c r="E26" s="23">
        <v>33000</v>
      </c>
      <c r="F26" s="22">
        <f>-110.1-44.95-58.35-36.5-104.7-102.5-100.95-98.55-76.85-76.1-73.8-73.6-71.85-70.7-69.65-69.1-68.6-68.5-68.45-68-67.95-67.25-66.85-66.5-66.4-66.2-66-65.8-65.7-65.7-65.6-64.7-64.65-64.45-63.2-62.8-61.3-57.8-40.35-39.9-39.05-37.8-36-62.5-38.5-16.5-35.1-34.4-34.4-34.25-34-33.25-33.1-32.85-32.85-32.85-32.85-32.85-31.6-31.2-29.45-28.65-26.05-24.85-24.8-23.7-23.65-22.7-21.5-21.12-21.05-18-17.8-16.7-16.6-16.5-15.55-14.1-98.8-77.75-69.4-66.2-65.95-64.45-34.1-32.85-26.8-66.1-35.4-36.5-33.25-68.25-27.05-31.85-67.1-34.75-66.85-50.85-32.85-70.65-34.4-19.95-10.6-34.35-86.55-29.7-2178.75+7+2579.44</f>
        <v>-4805.1800000000021</v>
      </c>
      <c r="G26" s="24">
        <v>33000</v>
      </c>
      <c r="H26" s="22">
        <v>0</v>
      </c>
      <c r="I26" s="24">
        <v>33000</v>
      </c>
      <c r="J26" s="22">
        <v>36421</v>
      </c>
      <c r="K26" s="24">
        <v>33000</v>
      </c>
      <c r="L26" s="24">
        <f>+[1]pivot!D52+[1]pivot!D79</f>
        <v>33571.21</v>
      </c>
      <c r="N26" s="1"/>
      <c r="O26" s="1"/>
    </row>
    <row r="27" spans="1:15" x14ac:dyDescent="0.35">
      <c r="B27" s="1" t="s">
        <v>24</v>
      </c>
      <c r="C27" s="22">
        <v>0</v>
      </c>
      <c r="D27" s="22"/>
      <c r="E27" s="23">
        <v>0</v>
      </c>
      <c r="F27" s="22">
        <v>116.36</v>
      </c>
      <c r="G27" s="24">
        <v>0</v>
      </c>
      <c r="H27" s="22">
        <v>274</v>
      </c>
      <c r="I27" s="24">
        <v>0</v>
      </c>
      <c r="J27" s="22">
        <v>1161</v>
      </c>
      <c r="K27" s="24">
        <v>0</v>
      </c>
      <c r="L27" s="24">
        <f>+[1]pivot!Q48</f>
        <v>57</v>
      </c>
      <c r="N27" s="31"/>
      <c r="O27" s="1"/>
    </row>
    <row r="28" spans="1:15" x14ac:dyDescent="0.35">
      <c r="B28" s="1" t="s">
        <v>104</v>
      </c>
      <c r="C28" s="22"/>
      <c r="D28" s="22"/>
      <c r="E28" s="23"/>
      <c r="F28" s="22">
        <f>41.69-72.46+2170</f>
        <v>2139.23</v>
      </c>
      <c r="G28" s="24"/>
      <c r="H28" s="22"/>
      <c r="I28" s="24"/>
      <c r="J28" s="22"/>
      <c r="K28" s="24"/>
      <c r="L28" s="24"/>
      <c r="N28" s="31"/>
      <c r="O28" s="1"/>
    </row>
    <row r="29" spans="1:15" x14ac:dyDescent="0.35">
      <c r="B29" s="25" t="s">
        <v>25</v>
      </c>
      <c r="C29" s="26">
        <f t="shared" ref="C29:L29" si="5">SUM(C24:C27)</f>
        <v>0</v>
      </c>
      <c r="D29" s="26"/>
      <c r="E29" s="27">
        <f t="shared" ref="E29:G29" si="6">SUM(E24:E27)</f>
        <v>39000</v>
      </c>
      <c r="F29" s="26">
        <f>SUM(F24:F28)</f>
        <v>2140.8199999999979</v>
      </c>
      <c r="G29" s="27">
        <f t="shared" si="6"/>
        <v>39000</v>
      </c>
      <c r="H29" s="26">
        <f t="shared" si="5"/>
        <v>274</v>
      </c>
      <c r="I29" s="27">
        <f t="shared" si="5"/>
        <v>39000</v>
      </c>
      <c r="J29" s="26">
        <f t="shared" si="5"/>
        <v>41422</v>
      </c>
      <c r="K29" s="27">
        <f t="shared" si="5"/>
        <v>39000</v>
      </c>
      <c r="L29" s="27">
        <f t="shared" si="5"/>
        <v>39048.21</v>
      </c>
      <c r="N29" s="1"/>
      <c r="O29" s="1"/>
    </row>
    <row r="30" spans="1:15" x14ac:dyDescent="0.35">
      <c r="B30" s="25" t="s">
        <v>26</v>
      </c>
      <c r="C30" s="40">
        <f t="shared" ref="C30:L30" si="7">+C21+C29</f>
        <v>0</v>
      </c>
      <c r="D30" s="40"/>
      <c r="E30" s="41">
        <f>+E21+E29</f>
        <v>98700</v>
      </c>
      <c r="F30" s="40">
        <f>+F21+F29</f>
        <v>65951.260000000009</v>
      </c>
      <c r="G30" s="41">
        <f>+G21+G29</f>
        <v>96650</v>
      </c>
      <c r="H30" s="40">
        <f t="shared" si="7"/>
        <v>44949</v>
      </c>
      <c r="I30" s="41">
        <f t="shared" si="7"/>
        <v>81700</v>
      </c>
      <c r="J30" s="40">
        <f t="shared" si="7"/>
        <v>116694</v>
      </c>
      <c r="K30" s="41">
        <f t="shared" si="7"/>
        <v>110000</v>
      </c>
      <c r="L30" s="41" t="e">
        <f t="shared" si="7"/>
        <v>#REF!</v>
      </c>
      <c r="N30" s="42"/>
      <c r="O30" s="1"/>
    </row>
    <row r="31" spans="1:15" x14ac:dyDescent="0.35">
      <c r="B31" s="25"/>
      <c r="C31" s="43"/>
      <c r="D31" s="43"/>
      <c r="E31" s="43"/>
      <c r="F31" s="43"/>
      <c r="G31" s="43"/>
      <c r="H31" s="43"/>
      <c r="I31" s="43"/>
      <c r="J31" s="43"/>
      <c r="K31" s="43"/>
      <c r="L31" s="44"/>
      <c r="N31" s="42"/>
      <c r="O31" s="1"/>
    </row>
    <row r="32" spans="1:15" x14ac:dyDescent="0.35">
      <c r="C32" s="22"/>
      <c r="D32" s="22"/>
      <c r="E32" s="22"/>
      <c r="F32" s="22"/>
      <c r="G32" s="22"/>
      <c r="H32" s="22"/>
      <c r="I32" s="22"/>
      <c r="J32" s="22"/>
      <c r="K32" s="22"/>
      <c r="L32" s="22"/>
      <c r="N32" s="1"/>
      <c r="O32" s="1"/>
    </row>
    <row r="33" spans="1:17" ht="16" thickBot="1" x14ac:dyDescent="0.4">
      <c r="A33" s="90" t="s">
        <v>27</v>
      </c>
      <c r="B33" s="90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2"/>
      <c r="O33" s="1"/>
    </row>
    <row r="34" spans="1:17" ht="16" thickTop="1" x14ac:dyDescent="0.35">
      <c r="A34" s="13"/>
      <c r="B34" s="14" t="s">
        <v>28</v>
      </c>
      <c r="C34" s="15"/>
      <c r="D34" s="15"/>
      <c r="E34" s="15"/>
      <c r="F34" s="15"/>
      <c r="G34" s="15"/>
      <c r="H34" s="15"/>
      <c r="I34" s="15"/>
      <c r="J34" s="15"/>
      <c r="K34" s="15"/>
      <c r="L34" s="13"/>
      <c r="M34" s="16"/>
      <c r="N34" s="1"/>
      <c r="O34" s="1"/>
    </row>
    <row r="35" spans="1:17" x14ac:dyDescent="0.35">
      <c r="B35" s="1" t="s">
        <v>29</v>
      </c>
      <c r="C35" s="46">
        <v>0</v>
      </c>
      <c r="D35" s="46"/>
      <c r="E35" s="47">
        <v>0</v>
      </c>
      <c r="F35" s="46"/>
      <c r="G35" s="47">
        <v>800</v>
      </c>
      <c r="H35" s="46">
        <v>700</v>
      </c>
      <c r="I35" s="47">
        <v>800</v>
      </c>
      <c r="J35" s="46">
        <v>0</v>
      </c>
      <c r="K35" s="47">
        <v>800</v>
      </c>
      <c r="L35" s="47" t="e">
        <f>-GETPIVOTDATA("Amount",'[1]Disb. by Program (2018-19)'!$A$3,"Program","Lester Gardens")</f>
        <v>#REF!</v>
      </c>
      <c r="N35" s="1"/>
      <c r="O35" s="1"/>
    </row>
    <row r="36" spans="1:17" x14ac:dyDescent="0.35">
      <c r="B36" s="1" t="s">
        <v>30</v>
      </c>
      <c r="C36" s="48">
        <f>-'[1]Treasurer''s Report (09.18.19)'!E16+-'[1]Treasurer''s Report (10.23.19)'!E15+-'[1]Treasurer''s Report (1.22.20)'!E17</f>
        <v>0</v>
      </c>
      <c r="D36" s="48"/>
      <c r="E36" s="49">
        <v>1500</v>
      </c>
      <c r="F36" s="48">
        <f>137.31+291.49+49.13</f>
        <v>477.93</v>
      </c>
      <c r="G36" s="49">
        <v>1200</v>
      </c>
      <c r="H36" s="48">
        <v>501</v>
      </c>
      <c r="I36" s="49">
        <v>1200</v>
      </c>
      <c r="J36" s="48">
        <v>687</v>
      </c>
      <c r="K36" s="49">
        <v>1200</v>
      </c>
      <c r="L36" s="49" t="e">
        <f>-GETPIVOTDATA("Amount",'[1]Disb. by Program (2018-19)'!$A$3,"Program","Art Awareness")</f>
        <v>#REF!</v>
      </c>
      <c r="N36" s="1"/>
      <c r="O36" s="1"/>
    </row>
    <row r="37" spans="1:17" x14ac:dyDescent="0.35">
      <c r="B37" s="1" t="s">
        <v>31</v>
      </c>
      <c r="C37" s="33">
        <f>-'[1]Treasurer''s Report (2.19.20)'!E13+-'[1]Treasurer''s Report (11.20.19)'!E16</f>
        <v>0</v>
      </c>
      <c r="D37" s="33"/>
      <c r="E37" s="34">
        <v>2000</v>
      </c>
      <c r="F37" s="33">
        <v>2000</v>
      </c>
      <c r="G37" s="34">
        <v>4000</v>
      </c>
      <c r="H37" s="33">
        <v>0</v>
      </c>
      <c r="I37" s="34">
        <v>0</v>
      </c>
      <c r="J37" s="33">
        <v>3551</v>
      </c>
      <c r="K37" s="34">
        <v>4000</v>
      </c>
      <c r="L37" s="49">
        <v>0</v>
      </c>
      <c r="N37" s="31"/>
      <c r="O37" s="1"/>
    </row>
    <row r="38" spans="1:17" x14ac:dyDescent="0.35">
      <c r="B38" s="1" t="s">
        <v>32</v>
      </c>
      <c r="C38" s="33">
        <v>0</v>
      </c>
      <c r="D38" s="33"/>
      <c r="E38" s="34">
        <v>500</v>
      </c>
      <c r="F38" s="33"/>
      <c r="G38" s="34">
        <v>500</v>
      </c>
      <c r="H38" s="33">
        <v>0</v>
      </c>
      <c r="I38" s="34">
        <v>500</v>
      </c>
      <c r="J38" s="33">
        <v>0</v>
      </c>
      <c r="K38" s="34">
        <v>500</v>
      </c>
      <c r="L38" s="49" t="e">
        <f>-GETPIVOTDATA("Amount",'[1]Disb. by Program (2018-19)'!$A$3,"Program","Expressions Art Fair")</f>
        <v>#REF!</v>
      </c>
      <c r="N38" s="31"/>
      <c r="O38" s="1"/>
    </row>
    <row r="39" spans="1:17" x14ac:dyDescent="0.35">
      <c r="B39" s="1" t="s">
        <v>33</v>
      </c>
      <c r="C39" s="33">
        <v>0</v>
      </c>
      <c r="D39" s="33"/>
      <c r="E39" s="34">
        <v>3500</v>
      </c>
      <c r="F39" s="33"/>
      <c r="G39" s="34">
        <v>2700</v>
      </c>
      <c r="H39" s="33">
        <v>0</v>
      </c>
      <c r="I39" s="34">
        <v>2700</v>
      </c>
      <c r="J39" s="33">
        <v>0</v>
      </c>
      <c r="K39" s="34">
        <v>2700</v>
      </c>
      <c r="L39" s="49" t="e">
        <f>-GETPIVOTDATA("Amount",'[1]Disb. by Program (2018-19)'!$A$3,"Program","Field Day (Reimbursement)")</f>
        <v>#REF!</v>
      </c>
      <c r="N39" s="1"/>
      <c r="O39" s="1"/>
    </row>
    <row r="40" spans="1:17" x14ac:dyDescent="0.35">
      <c r="B40" s="1" t="s">
        <v>34</v>
      </c>
      <c r="C40" s="33">
        <f>-'[1]Treasurer''s Report (10.23.19)'!E19</f>
        <v>0</v>
      </c>
      <c r="D40" s="33"/>
      <c r="E40" s="34">
        <v>400</v>
      </c>
      <c r="F40" s="33"/>
      <c r="G40" s="34">
        <v>300</v>
      </c>
      <c r="H40" s="33">
        <v>0</v>
      </c>
      <c r="I40" s="34">
        <v>300</v>
      </c>
      <c r="J40" s="33">
        <v>334</v>
      </c>
      <c r="K40" s="34">
        <v>250</v>
      </c>
      <c r="L40" s="49">
        <v>68</v>
      </c>
      <c r="N40" s="1"/>
      <c r="O40" s="1"/>
    </row>
    <row r="41" spans="1:17" x14ac:dyDescent="0.35">
      <c r="B41" s="1" t="s">
        <v>35</v>
      </c>
      <c r="C41" s="33">
        <f>-'[1]Treasurer''s Report (10.23.19)'!E20</f>
        <v>0</v>
      </c>
      <c r="D41" s="33"/>
      <c r="E41" s="34">
        <v>400</v>
      </c>
      <c r="F41" s="33"/>
      <c r="G41" s="34">
        <v>300</v>
      </c>
      <c r="H41" s="33">
        <v>0</v>
      </c>
      <c r="I41" s="34">
        <v>300</v>
      </c>
      <c r="J41" s="33">
        <v>233</v>
      </c>
      <c r="K41" s="34">
        <v>250</v>
      </c>
      <c r="L41" s="49" t="e">
        <f>-GETPIVOTDATA("Amount",'[1]Disb. by Program (2018-19)'!$A$3,"Program","Fit Girls")</f>
        <v>#REF!</v>
      </c>
      <c r="N41" s="1"/>
      <c r="O41" s="1"/>
    </row>
    <row r="42" spans="1:17" x14ac:dyDescent="0.35">
      <c r="B42" s="1" t="s">
        <v>36</v>
      </c>
      <c r="C42" s="33">
        <f>-'[1]Treasurer''s Report (1.22.20)'!E22</f>
        <v>0</v>
      </c>
      <c r="D42" s="33"/>
      <c r="E42" s="34">
        <v>2150</v>
      </c>
      <c r="F42" s="33"/>
      <c r="G42" s="34">
        <v>1750</v>
      </c>
      <c r="H42" s="33">
        <v>0</v>
      </c>
      <c r="I42" s="34">
        <v>1750</v>
      </c>
      <c r="J42" s="33">
        <v>221</v>
      </c>
      <c r="K42" s="34">
        <v>1750</v>
      </c>
      <c r="L42" s="49" t="e">
        <f>-GETPIVOTDATA("Amount",'[1]Disb. by Program (2018-19)'!$A$3,"Program","DFL")</f>
        <v>#REF!</v>
      </c>
      <c r="N42" s="1"/>
      <c r="O42" s="1"/>
    </row>
    <row r="43" spans="1:17" x14ac:dyDescent="0.35">
      <c r="B43" s="1" t="s">
        <v>37</v>
      </c>
      <c r="C43" s="33">
        <v>0</v>
      </c>
      <c r="D43" s="33"/>
      <c r="E43" s="34">
        <v>400</v>
      </c>
      <c r="F43" s="33"/>
      <c r="G43" s="34">
        <v>400</v>
      </c>
      <c r="H43" s="33">
        <v>0</v>
      </c>
      <c r="I43" s="34">
        <v>400</v>
      </c>
      <c r="J43" s="33">
        <v>105</v>
      </c>
      <c r="K43" s="34">
        <v>400</v>
      </c>
      <c r="L43" s="49" t="e">
        <f>-GETPIVOTDATA("Amount",'[1]Disb. by Program (2018-19)'!$A$3,"Program","Reflections")</f>
        <v>#REF!</v>
      </c>
      <c r="N43" s="1"/>
      <c r="O43" s="1"/>
    </row>
    <row r="44" spans="1:17" x14ac:dyDescent="0.35">
      <c r="B44" s="1" t="s">
        <v>114</v>
      </c>
      <c r="C44" s="33">
        <v>0</v>
      </c>
      <c r="D44" s="33"/>
      <c r="E44" s="34">
        <v>4000</v>
      </c>
      <c r="F44" s="33"/>
      <c r="G44" s="34">
        <v>4000</v>
      </c>
      <c r="H44" s="33">
        <v>0</v>
      </c>
      <c r="I44" s="34">
        <v>3200</v>
      </c>
      <c r="J44" s="33">
        <v>0</v>
      </c>
      <c r="K44" s="34">
        <v>3200</v>
      </c>
      <c r="L44" s="49" t="e">
        <f>-GETPIVOTDATA("Amount",'[1]Disb. by Program (2018-19)'!$A$3,"Program","Roller Skating")</f>
        <v>#REF!</v>
      </c>
      <c r="N44" s="1"/>
      <c r="O44" s="1"/>
    </row>
    <row r="45" spans="1:17" x14ac:dyDescent="0.35">
      <c r="B45" s="1" t="s">
        <v>38</v>
      </c>
      <c r="C45" s="33">
        <v>0</v>
      </c>
      <c r="D45" s="33"/>
      <c r="E45" s="34">
        <v>1000</v>
      </c>
      <c r="F45" s="33"/>
      <c r="G45" s="34">
        <v>700</v>
      </c>
      <c r="H45" s="33">
        <v>0</v>
      </c>
      <c r="I45" s="34">
        <v>700</v>
      </c>
      <c r="J45" s="33">
        <v>594</v>
      </c>
      <c r="K45" s="34">
        <v>700</v>
      </c>
      <c r="L45" s="49" t="e">
        <f>-GETPIVOTDATA("Amount",'[1]Disb. by Program (2018-19)'!$A$3,"Program","Science Olympiad")</f>
        <v>#REF!</v>
      </c>
      <c r="N45" s="1"/>
      <c r="O45" s="1"/>
    </row>
    <row r="46" spans="1:17" s="2" customFormat="1" x14ac:dyDescent="0.35">
      <c r="B46" s="1" t="s">
        <v>39</v>
      </c>
      <c r="C46" s="50">
        <v>0</v>
      </c>
      <c r="D46" s="50"/>
      <c r="E46" s="51">
        <v>450</v>
      </c>
      <c r="F46" s="50"/>
      <c r="G46" s="51">
        <v>450</v>
      </c>
      <c r="H46" s="50">
        <v>0</v>
      </c>
      <c r="I46" s="51">
        <v>450</v>
      </c>
      <c r="J46" s="50">
        <v>268</v>
      </c>
      <c r="K46" s="51">
        <v>450</v>
      </c>
      <c r="L46" s="51" t="e">
        <f>-GETPIVOTDATA("Amount",'[1]Disb. by Program (2018-19)'!$A$3,"Program","Summer Math Club")</f>
        <v>#REF!</v>
      </c>
      <c r="N46" s="1"/>
      <c r="O46" s="1"/>
      <c r="P46" s="1"/>
      <c r="Q46" s="1"/>
    </row>
    <row r="47" spans="1:17" s="2" customFormat="1" x14ac:dyDescent="0.35">
      <c r="B47" s="25" t="s">
        <v>40</v>
      </c>
      <c r="C47" s="52">
        <f t="shared" ref="C47:L47" si="8">SUM(C35:C46)</f>
        <v>0</v>
      </c>
      <c r="D47" s="52"/>
      <c r="E47" s="53">
        <f>SUM(E35:E46)</f>
        <v>16300</v>
      </c>
      <c r="F47" s="52">
        <f t="shared" ref="F47" si="9">SUM(F35:F46)</f>
        <v>2477.9299999999998</v>
      </c>
      <c r="G47" s="53">
        <f>SUM(G35:G46)</f>
        <v>17100</v>
      </c>
      <c r="H47" s="52">
        <f t="shared" si="8"/>
        <v>1201</v>
      </c>
      <c r="I47" s="53">
        <f t="shared" si="8"/>
        <v>12300</v>
      </c>
      <c r="J47" s="52">
        <f t="shared" si="8"/>
        <v>5993</v>
      </c>
      <c r="K47" s="53">
        <f t="shared" si="8"/>
        <v>16200</v>
      </c>
      <c r="L47" s="53" t="e">
        <f t="shared" si="8"/>
        <v>#REF!</v>
      </c>
      <c r="N47" s="1"/>
      <c r="O47" s="1"/>
      <c r="P47" s="1"/>
      <c r="Q47" s="1"/>
    </row>
    <row r="48" spans="1:17" s="2" customFormat="1" x14ac:dyDescent="0.35">
      <c r="B48" s="25"/>
      <c r="C48" s="52"/>
      <c r="D48" s="52"/>
      <c r="E48" s="53"/>
      <c r="F48" s="52"/>
      <c r="G48" s="53"/>
      <c r="H48" s="52"/>
      <c r="I48" s="53"/>
      <c r="J48" s="52"/>
      <c r="K48" s="53"/>
      <c r="L48" s="53"/>
      <c r="N48" s="1"/>
      <c r="O48" s="1"/>
      <c r="P48" s="1"/>
      <c r="Q48" s="1"/>
    </row>
    <row r="49" spans="1:17" s="2" customFormat="1" x14ac:dyDescent="0.35">
      <c r="A49" s="28"/>
      <c r="B49" s="29" t="s">
        <v>41</v>
      </c>
      <c r="C49" s="54"/>
      <c r="D49" s="54"/>
      <c r="E49" s="12"/>
      <c r="F49" s="12"/>
      <c r="G49" s="12"/>
      <c r="H49" s="12"/>
      <c r="I49" s="12"/>
      <c r="J49" s="54"/>
      <c r="K49" s="12"/>
      <c r="L49" s="12"/>
      <c r="M49" s="12"/>
      <c r="N49" s="1"/>
      <c r="O49" s="1"/>
      <c r="P49" s="1"/>
      <c r="Q49" s="1"/>
    </row>
    <row r="50" spans="1:17" s="2" customFormat="1" x14ac:dyDescent="0.35">
      <c r="B50" s="1" t="s">
        <v>42</v>
      </c>
      <c r="C50" s="48">
        <v>0</v>
      </c>
      <c r="D50" s="48"/>
      <c r="E50" s="55">
        <v>2000</v>
      </c>
      <c r="F50" s="56">
        <v>124.39</v>
      </c>
      <c r="G50" s="55">
        <v>500</v>
      </c>
      <c r="H50" s="56">
        <v>0</v>
      </c>
      <c r="I50" s="55">
        <v>100</v>
      </c>
      <c r="J50" s="48">
        <v>0</v>
      </c>
      <c r="K50" s="55">
        <v>100</v>
      </c>
      <c r="L50" s="49">
        <f>-[1]pivot!D77-[1]pivot!D78</f>
        <v>40</v>
      </c>
      <c r="N50" s="31"/>
      <c r="O50" s="1"/>
      <c r="P50" s="1"/>
      <c r="Q50" s="1"/>
    </row>
    <row r="51" spans="1:17" s="2" customFormat="1" x14ac:dyDescent="0.35">
      <c r="B51" s="1" t="s">
        <v>43</v>
      </c>
      <c r="C51" s="48">
        <v>0</v>
      </c>
      <c r="D51" s="48"/>
      <c r="E51" s="55">
        <v>1000</v>
      </c>
      <c r="F51" s="56"/>
      <c r="G51" s="55">
        <v>200</v>
      </c>
      <c r="H51" s="56">
        <v>0</v>
      </c>
      <c r="I51" s="55">
        <v>200</v>
      </c>
      <c r="J51" s="48">
        <v>0</v>
      </c>
      <c r="K51" s="55">
        <v>200</v>
      </c>
      <c r="L51" s="49">
        <v>0</v>
      </c>
      <c r="N51" s="1"/>
      <c r="O51" s="1"/>
      <c r="P51" s="1"/>
      <c r="Q51" s="1"/>
    </row>
    <row r="52" spans="1:17" s="2" customFormat="1" x14ac:dyDescent="0.35">
      <c r="B52" s="1" t="s">
        <v>44</v>
      </c>
      <c r="C52" s="48">
        <v>0</v>
      </c>
      <c r="D52" s="48"/>
      <c r="E52" s="49">
        <v>15</v>
      </c>
      <c r="F52" s="48">
        <v>10</v>
      </c>
      <c r="G52" s="49">
        <v>15</v>
      </c>
      <c r="H52" s="48">
        <v>14</v>
      </c>
      <c r="I52" s="49">
        <v>10</v>
      </c>
      <c r="J52" s="48">
        <v>0</v>
      </c>
      <c r="K52" s="49">
        <v>10</v>
      </c>
      <c r="L52" s="49">
        <f>-'[1]Disb. by Program (2018-19)'!B69</f>
        <v>10</v>
      </c>
      <c r="N52" s="31"/>
      <c r="O52" s="1"/>
      <c r="P52" s="1"/>
      <c r="Q52" s="1"/>
    </row>
    <row r="53" spans="1:17" s="2" customFormat="1" x14ac:dyDescent="0.35">
      <c r="B53" s="1" t="s">
        <v>45</v>
      </c>
      <c r="C53" s="48">
        <f>-'[1]Treasurer''s Report (09.18.19)'!E21</f>
        <v>0</v>
      </c>
      <c r="D53" s="48"/>
      <c r="E53" s="49">
        <v>700</v>
      </c>
      <c r="F53" s="48">
        <f>600+61.31</f>
        <v>661.31</v>
      </c>
      <c r="G53" s="49">
        <v>700</v>
      </c>
      <c r="H53" s="48">
        <v>665</v>
      </c>
      <c r="I53" s="49">
        <v>700</v>
      </c>
      <c r="J53" s="48">
        <f>-'[1]Treasurer''s Report (09.18.19)'!F21</f>
        <v>665</v>
      </c>
      <c r="K53" s="49">
        <v>700</v>
      </c>
      <c r="L53" s="49">
        <f>-'[1]Disb. by Program (2018-19)'!B65-7.3</f>
        <v>657.7</v>
      </c>
      <c r="N53" s="1"/>
      <c r="O53" s="1"/>
      <c r="P53" s="1"/>
      <c r="Q53" s="1"/>
    </row>
    <row r="54" spans="1:17" s="2" customFormat="1" x14ac:dyDescent="0.35">
      <c r="B54" s="1" t="s">
        <v>136</v>
      </c>
      <c r="C54" s="48">
        <f>-'[1]Treasurer''s Report (09.18.19)'!E23</f>
        <v>0</v>
      </c>
      <c r="D54" s="48"/>
      <c r="E54" s="49">
        <v>1000</v>
      </c>
      <c r="F54" s="48">
        <v>231</v>
      </c>
      <c r="G54" s="49">
        <v>3000</v>
      </c>
      <c r="H54" s="48">
        <v>0</v>
      </c>
      <c r="I54" s="49">
        <v>2400</v>
      </c>
      <c r="J54" s="48">
        <f>-'[1]Treasurer''s Report (09.18.19)'!F23</f>
        <v>2333.4</v>
      </c>
      <c r="K54" s="49">
        <v>2400</v>
      </c>
      <c r="L54" s="49" t="e">
        <f>-GETPIVOTDATA("Amount",'[1]Disb. by Program (2018-19)'!$A$3,"Program","Lester Gardens (Fall Refresh)")</f>
        <v>#REF!</v>
      </c>
      <c r="N54" s="31"/>
      <c r="O54" s="1"/>
      <c r="P54" s="1"/>
      <c r="Q54" s="1"/>
    </row>
    <row r="55" spans="1:17" s="2" customFormat="1" x14ac:dyDescent="0.35">
      <c r="B55" s="1" t="s">
        <v>46</v>
      </c>
      <c r="C55" s="48">
        <v>0</v>
      </c>
      <c r="D55" s="48"/>
      <c r="E55" s="49">
        <v>500</v>
      </c>
      <c r="F55" s="48"/>
      <c r="G55" s="49">
        <v>100</v>
      </c>
      <c r="H55" s="48">
        <v>0</v>
      </c>
      <c r="I55" s="49">
        <v>100</v>
      </c>
      <c r="J55" s="48">
        <v>0</v>
      </c>
      <c r="K55" s="49">
        <v>100</v>
      </c>
      <c r="L55" s="49">
        <v>0</v>
      </c>
      <c r="N55" s="1"/>
      <c r="O55" s="1"/>
      <c r="P55" s="1"/>
      <c r="Q55" s="1"/>
    </row>
    <row r="56" spans="1:17" s="2" customFormat="1" x14ac:dyDescent="0.35">
      <c r="B56" s="1" t="s">
        <v>47</v>
      </c>
      <c r="C56" s="48">
        <f>-'[1]Treasurer''s Report (10.23.19)'!E26</f>
        <v>0</v>
      </c>
      <c r="D56" s="48"/>
      <c r="E56" s="49">
        <v>300</v>
      </c>
      <c r="F56" s="48"/>
      <c r="G56" s="49">
        <v>300</v>
      </c>
      <c r="H56" s="48">
        <v>11</v>
      </c>
      <c r="I56" s="49">
        <v>300</v>
      </c>
      <c r="J56" s="48">
        <f>-'[1]Treasurer''s Report (10.23.19)'!F26</f>
        <v>79.900000000000006</v>
      </c>
      <c r="K56" s="49">
        <v>300</v>
      </c>
      <c r="L56" s="49" t="e">
        <f>-GETPIVOTDATA("Amount",'[1]Disb. by Program (2018-19)'!$A$3,"Program","Paper for Longfellow")</f>
        <v>#REF!</v>
      </c>
      <c r="N56" s="1"/>
      <c r="O56" s="1"/>
      <c r="P56" s="1"/>
      <c r="Q56" s="1"/>
    </row>
    <row r="57" spans="1:17" s="2" customFormat="1" x14ac:dyDescent="0.35">
      <c r="B57" s="1" t="s">
        <v>48</v>
      </c>
      <c r="C57" s="48">
        <f>-'[1]Treasurer''s Report (10.23.19)'!E27</f>
        <v>0</v>
      </c>
      <c r="D57" s="48"/>
      <c r="E57" s="49">
        <v>2000</v>
      </c>
      <c r="F57" s="48">
        <v>2000</v>
      </c>
      <c r="G57" s="49">
        <v>2000</v>
      </c>
      <c r="H57" s="48">
        <v>0</v>
      </c>
      <c r="I57" s="49">
        <v>2000</v>
      </c>
      <c r="J57" s="48">
        <v>0</v>
      </c>
      <c r="K57" s="49">
        <v>0</v>
      </c>
      <c r="L57" s="49">
        <v>0</v>
      </c>
      <c r="N57" s="1"/>
      <c r="O57" s="1"/>
      <c r="P57" s="1"/>
      <c r="Q57" s="1"/>
    </row>
    <row r="58" spans="1:17" x14ac:dyDescent="0.35">
      <c r="B58" s="1" t="s">
        <v>49</v>
      </c>
      <c r="C58" s="48">
        <v>0</v>
      </c>
      <c r="D58" s="48"/>
      <c r="E58" s="49">
        <v>3000</v>
      </c>
      <c r="F58" s="48">
        <v>2345</v>
      </c>
      <c r="G58" s="49">
        <v>3000</v>
      </c>
      <c r="H58" s="48">
        <v>2845</v>
      </c>
      <c r="I58" s="49">
        <v>2500</v>
      </c>
      <c r="J58" s="48">
        <v>1396.5</v>
      </c>
      <c r="K58" s="49">
        <v>2500</v>
      </c>
      <c r="L58" s="49" t="e">
        <f>-GETPIVOTDATA("Amount",'[1]Disb. by Program (2018-19)'!$A$3,"Program","Contract &amp; Fees (2018-19)")</f>
        <v>#REF!</v>
      </c>
      <c r="N58" s="31"/>
      <c r="O58" s="1"/>
    </row>
    <row r="59" spans="1:17" x14ac:dyDescent="0.35">
      <c r="B59" s="1" t="s">
        <v>50</v>
      </c>
      <c r="C59" s="57">
        <v>0</v>
      </c>
      <c r="D59" s="57"/>
      <c r="E59" s="49">
        <v>400</v>
      </c>
      <c r="F59" s="48"/>
      <c r="G59" s="49">
        <v>400</v>
      </c>
      <c r="H59" s="48">
        <v>0</v>
      </c>
      <c r="I59" s="49">
        <v>400</v>
      </c>
      <c r="J59" s="57">
        <v>0</v>
      </c>
      <c r="K59" s="49">
        <v>400</v>
      </c>
      <c r="L59" s="49">
        <v>320</v>
      </c>
      <c r="N59" s="1"/>
      <c r="O59" s="1"/>
    </row>
    <row r="60" spans="1:17" x14ac:dyDescent="0.35">
      <c r="B60" s="1" t="s">
        <v>51</v>
      </c>
      <c r="C60" s="48">
        <f>-'[1]Treasurer''s Report (10.23.19)'!E28</f>
        <v>0</v>
      </c>
      <c r="D60" s="48"/>
      <c r="E60" s="49">
        <v>205</v>
      </c>
      <c r="F60" s="48">
        <v>204</v>
      </c>
      <c r="G60" s="49">
        <v>205</v>
      </c>
      <c r="H60" s="48">
        <v>204</v>
      </c>
      <c r="I60" s="49">
        <v>200</v>
      </c>
      <c r="J60" s="48">
        <f>-'[1]Treasurer''s Report (10.23.19)'!F28</f>
        <v>204</v>
      </c>
      <c r="K60" s="49">
        <v>200</v>
      </c>
      <c r="L60" s="49">
        <v>168</v>
      </c>
      <c r="N60" s="1"/>
      <c r="O60" s="1"/>
    </row>
    <row r="61" spans="1:17" x14ac:dyDescent="0.35">
      <c r="B61" s="25" t="s">
        <v>52</v>
      </c>
      <c r="C61" s="58">
        <f t="shared" ref="C61:L61" si="10">SUM(C50:C60)</f>
        <v>0</v>
      </c>
      <c r="D61" s="58"/>
      <c r="E61" s="59">
        <f>SUM(E50:E60)</f>
        <v>11120</v>
      </c>
      <c r="F61" s="58">
        <f t="shared" ref="F61" si="11">SUM(F50:F60)</f>
        <v>5575.7</v>
      </c>
      <c r="G61" s="59">
        <f>SUM(G50:G60)</f>
        <v>10420</v>
      </c>
      <c r="H61" s="58">
        <f t="shared" si="10"/>
        <v>3739</v>
      </c>
      <c r="I61" s="59">
        <f t="shared" si="10"/>
        <v>8910</v>
      </c>
      <c r="J61" s="58">
        <f t="shared" si="10"/>
        <v>4678.8</v>
      </c>
      <c r="K61" s="59">
        <f t="shared" si="10"/>
        <v>6910</v>
      </c>
      <c r="L61" s="59" t="e">
        <f t="shared" si="10"/>
        <v>#REF!</v>
      </c>
      <c r="N61" s="1"/>
      <c r="O61" s="1"/>
    </row>
    <row r="62" spans="1:17" hidden="1" x14ac:dyDescent="0.35">
      <c r="B62" s="25"/>
      <c r="C62" s="60"/>
      <c r="D62" s="60"/>
      <c r="E62" s="60"/>
      <c r="F62" s="60"/>
      <c r="G62" s="60"/>
      <c r="H62" s="60"/>
      <c r="I62" s="60"/>
      <c r="J62" s="60"/>
      <c r="K62" s="60"/>
      <c r="L62" s="61"/>
      <c r="N62" s="1"/>
      <c r="O62" s="1"/>
    </row>
    <row r="63" spans="1:17" hidden="1" x14ac:dyDescent="0.35">
      <c r="B63" s="25"/>
      <c r="C63" s="60"/>
      <c r="D63" s="60"/>
      <c r="E63" s="60"/>
      <c r="F63" s="60"/>
      <c r="G63" s="60"/>
      <c r="H63" s="60"/>
      <c r="I63" s="60"/>
      <c r="J63" s="60"/>
      <c r="K63" s="60"/>
      <c r="L63" s="61"/>
      <c r="N63" s="1"/>
      <c r="O63" s="1"/>
    </row>
    <row r="64" spans="1:17" x14ac:dyDescent="0.35">
      <c r="C64" s="22"/>
      <c r="D64" s="22"/>
      <c r="E64" s="22"/>
      <c r="F64" s="22"/>
      <c r="G64" s="22"/>
      <c r="H64" s="22"/>
      <c r="I64" s="22"/>
      <c r="J64" s="22"/>
      <c r="K64" s="22"/>
      <c r="L64" s="22"/>
      <c r="N64" s="1"/>
      <c r="O64" s="1"/>
    </row>
    <row r="65" spans="1:21" x14ac:dyDescent="0.35">
      <c r="C65" s="22"/>
      <c r="D65" s="22"/>
      <c r="E65" s="22"/>
      <c r="F65" s="22"/>
      <c r="G65" s="22"/>
      <c r="H65" s="22"/>
      <c r="I65" s="22"/>
      <c r="J65" s="22"/>
      <c r="K65" s="22"/>
      <c r="L65" s="22"/>
      <c r="N65" s="1"/>
      <c r="O65" s="1"/>
    </row>
    <row r="66" spans="1:21" x14ac:dyDescent="0.35">
      <c r="A66" s="28"/>
      <c r="B66" s="29" t="s">
        <v>53</v>
      </c>
      <c r="C66" s="54"/>
      <c r="D66" s="54"/>
      <c r="E66" s="12"/>
      <c r="F66" s="12"/>
      <c r="G66" s="12"/>
      <c r="H66" s="12"/>
      <c r="I66" s="12"/>
      <c r="J66" s="54"/>
      <c r="K66" s="12"/>
      <c r="L66" s="12"/>
      <c r="M66" s="12"/>
      <c r="N66" s="1"/>
      <c r="O66" s="1"/>
    </row>
    <row r="67" spans="1:21" x14ac:dyDescent="0.35">
      <c r="B67" s="1" t="s">
        <v>54</v>
      </c>
      <c r="C67" s="48">
        <f>-'[1]Treasurer''s Report (10.23.19)'!E14</f>
        <v>0</v>
      </c>
      <c r="D67" s="48"/>
      <c r="E67" s="49">
        <v>0</v>
      </c>
      <c r="F67" s="48"/>
      <c r="G67" s="49">
        <v>0</v>
      </c>
      <c r="H67" s="48">
        <f>-'[2]Treasurer''s Report (11.18.2020)'!F13+-'[2]Treasurer''s Report (11.18.2020)'!F14</f>
        <v>1068.44</v>
      </c>
      <c r="I67" s="49">
        <v>0</v>
      </c>
      <c r="J67" s="48">
        <f>-'[1]Treasurer''s Report (10.23.19)'!F14</f>
        <v>1300</v>
      </c>
      <c r="K67" s="49">
        <v>0</v>
      </c>
      <c r="L67" s="49" t="e">
        <f>-GETPIVOTDATA("Amount",'[1]Disb. by Program (2018-19)'!$A$3,"Program","Guest Speakers &amp; Assemblies")-L68</f>
        <v>#REF!</v>
      </c>
      <c r="N67" s="1"/>
      <c r="O67" s="1"/>
    </row>
    <row r="68" spans="1:21" x14ac:dyDescent="0.35">
      <c r="B68" s="1" t="s">
        <v>55</v>
      </c>
      <c r="C68" s="62">
        <v>0</v>
      </c>
      <c r="D68" s="62"/>
      <c r="E68" s="49">
        <v>0</v>
      </c>
      <c r="F68" s="48">
        <v>995</v>
      </c>
      <c r="G68" s="49">
        <v>0</v>
      </c>
      <c r="H68" s="48">
        <f>-'[2]Treasurer''s Report (1.20.2021)'!F16</f>
        <v>225</v>
      </c>
      <c r="I68" s="49">
        <v>0</v>
      </c>
      <c r="J68" s="48">
        <v>475</v>
      </c>
      <c r="K68" s="49">
        <v>0</v>
      </c>
      <c r="L68" s="49">
        <f>-'[1]Audit Summary (2018-19)'!D157</f>
        <v>630</v>
      </c>
      <c r="N68" s="1"/>
      <c r="O68" s="1"/>
    </row>
    <row r="69" spans="1:21" x14ac:dyDescent="0.35">
      <c r="B69" s="1" t="s">
        <v>101</v>
      </c>
      <c r="C69" s="62">
        <v>0</v>
      </c>
      <c r="D69" s="62"/>
      <c r="E69" s="49">
        <v>0</v>
      </c>
      <c r="F69" s="48"/>
      <c r="G69" s="49">
        <v>0</v>
      </c>
      <c r="H69" s="48">
        <v>0</v>
      </c>
      <c r="I69" s="49">
        <v>0</v>
      </c>
      <c r="J69" s="62">
        <v>0</v>
      </c>
      <c r="K69" s="49">
        <v>0</v>
      </c>
      <c r="L69" s="49" t="e">
        <f>-GETPIVOTDATA("Amount",'[1]Disb. by Program (2018-19)'!$A$3,"Program","Guest Speakers &amp; Assemblies (Kindergarten)")</f>
        <v>#REF!</v>
      </c>
      <c r="N69" s="1"/>
      <c r="O69" s="1"/>
    </row>
    <row r="70" spans="1:21" x14ac:dyDescent="0.35">
      <c r="B70" s="1" t="s">
        <v>56</v>
      </c>
      <c r="C70" s="62">
        <v>0</v>
      </c>
      <c r="D70" s="62"/>
      <c r="E70" s="49">
        <v>0</v>
      </c>
      <c r="F70" s="48"/>
      <c r="G70" s="49">
        <v>0</v>
      </c>
      <c r="H70" s="48">
        <v>0</v>
      </c>
      <c r="I70" s="49">
        <v>0</v>
      </c>
      <c r="J70" s="62">
        <v>0</v>
      </c>
      <c r="K70" s="49">
        <v>0</v>
      </c>
      <c r="L70" s="49">
        <v>0</v>
      </c>
      <c r="N70" s="1"/>
      <c r="O70" s="1"/>
    </row>
    <row r="71" spans="1:21" x14ac:dyDescent="0.35">
      <c r="B71" s="25" t="s">
        <v>57</v>
      </c>
      <c r="C71" s="58">
        <f>SUM(C67:C70)</f>
        <v>0</v>
      </c>
      <c r="D71" s="58"/>
      <c r="E71" s="59">
        <v>3000</v>
      </c>
      <c r="F71" s="58">
        <f>SUM(F67:F70)</f>
        <v>995</v>
      </c>
      <c r="G71" s="59">
        <v>2500</v>
      </c>
      <c r="H71" s="58">
        <f>SUM(H67:H70)</f>
        <v>1293.44</v>
      </c>
      <c r="I71" s="59">
        <v>2500</v>
      </c>
      <c r="J71" s="58">
        <f>SUM(J67:J70)</f>
        <v>1775</v>
      </c>
      <c r="K71" s="59">
        <v>2500</v>
      </c>
      <c r="L71" s="59" t="e">
        <f>SUM(L67:L70)</f>
        <v>#REF!</v>
      </c>
      <c r="N71" s="1"/>
      <c r="O71" s="1"/>
    </row>
    <row r="72" spans="1:21" ht="7.5" customHeight="1" x14ac:dyDescent="0.35">
      <c r="E72" s="22"/>
      <c r="F72" s="22"/>
      <c r="G72" s="22"/>
      <c r="H72" s="22"/>
      <c r="I72" s="22"/>
      <c r="K72" s="22"/>
      <c r="L72" s="2"/>
      <c r="N72" s="1"/>
      <c r="O72" s="1"/>
    </row>
    <row r="73" spans="1:21" x14ac:dyDescent="0.35">
      <c r="A73" s="28"/>
      <c r="B73" s="29" t="s">
        <v>58</v>
      </c>
      <c r="C73" s="54"/>
      <c r="D73" s="54"/>
      <c r="E73" s="12"/>
      <c r="F73" s="12"/>
      <c r="G73" s="12"/>
      <c r="H73" s="12"/>
      <c r="I73" s="12"/>
      <c r="J73" s="54"/>
      <c r="K73" s="12"/>
      <c r="L73" s="12"/>
      <c r="M73" s="12"/>
      <c r="N73" s="1"/>
      <c r="O73" s="1"/>
    </row>
    <row r="74" spans="1:21" x14ac:dyDescent="0.35">
      <c r="B74" s="1" t="s">
        <v>59</v>
      </c>
      <c r="C74" s="48">
        <v>0</v>
      </c>
      <c r="D74" s="48"/>
      <c r="E74" s="49">
        <v>600</v>
      </c>
      <c r="F74" s="48"/>
      <c r="G74" s="49">
        <v>600</v>
      </c>
      <c r="H74" s="48">
        <v>427</v>
      </c>
      <c r="I74" s="49">
        <v>600</v>
      </c>
      <c r="J74" s="48">
        <v>0</v>
      </c>
      <c r="K74" s="49">
        <v>600</v>
      </c>
      <c r="L74" s="49">
        <f>+'[1]Outstanding Items - (06.30.19)'!E13</f>
        <v>637.07000000000005</v>
      </c>
      <c r="N74" s="1"/>
      <c r="O74" s="1"/>
    </row>
    <row r="75" spans="1:21" x14ac:dyDescent="0.35">
      <c r="B75" s="1" t="s">
        <v>60</v>
      </c>
      <c r="C75" s="48">
        <v>0</v>
      </c>
      <c r="D75" s="48"/>
      <c r="E75" s="49">
        <v>1750</v>
      </c>
      <c r="F75" s="48"/>
      <c r="G75" s="49">
        <v>1600</v>
      </c>
      <c r="H75" s="48">
        <v>300</v>
      </c>
      <c r="I75" s="49">
        <v>1600</v>
      </c>
      <c r="J75" s="48">
        <v>490</v>
      </c>
      <c r="K75" s="49">
        <f>1600+700</f>
        <v>2300</v>
      </c>
      <c r="L75" s="49" t="e">
        <f>-GETPIVOTDATA("Amount",'[1]Disb. by Program (2018-19)'!$A$3,"Program","Sixth Grade Party")-'[1]Disb. by Program (2018-19)'!D4</f>
        <v>#REF!</v>
      </c>
      <c r="O75" s="1"/>
      <c r="U75" s="1" t="s">
        <v>61</v>
      </c>
    </row>
    <row r="76" spans="1:21" x14ac:dyDescent="0.35">
      <c r="B76" s="1" t="s">
        <v>102</v>
      </c>
      <c r="C76" s="48">
        <v>0</v>
      </c>
      <c r="D76" s="48"/>
      <c r="E76" s="49">
        <v>1000</v>
      </c>
      <c r="F76" s="48"/>
      <c r="G76" s="49">
        <v>1000</v>
      </c>
      <c r="H76" s="48">
        <v>0</v>
      </c>
      <c r="I76" s="49">
        <v>0</v>
      </c>
      <c r="J76" s="48">
        <v>0</v>
      </c>
      <c r="K76" s="49">
        <v>0</v>
      </c>
      <c r="L76" s="49" t="e">
        <f>-GETPIVOTDATA("Amount",'[1]Disb. by Program (2018-19)'!$A$3,"Program","Teacher Appreciation")-199.5</f>
        <v>#REF!</v>
      </c>
      <c r="N76" s="31"/>
      <c r="O76" s="1"/>
    </row>
    <row r="77" spans="1:21" x14ac:dyDescent="0.35">
      <c r="B77" s="1" t="s">
        <v>62</v>
      </c>
      <c r="C77" s="48">
        <v>0</v>
      </c>
      <c r="D77" s="48"/>
      <c r="E77" s="49">
        <v>2000</v>
      </c>
      <c r="F77" s="48">
        <f>1210+540.76</f>
        <v>1750.76</v>
      </c>
      <c r="G77" s="49">
        <v>1500</v>
      </c>
      <c r="H77" s="48">
        <v>972</v>
      </c>
      <c r="I77" s="49">
        <v>1500</v>
      </c>
      <c r="J77" s="63">
        <v>1587</v>
      </c>
      <c r="K77" s="49">
        <v>1500</v>
      </c>
      <c r="L77" s="49" t="e">
        <f>-GETPIVOTDATA("Amount",'[1]Disb. by Program (2018-19)'!$A$3,"Program","Teacher Appreciation")-199.5</f>
        <v>#REF!</v>
      </c>
      <c r="N77" s="1"/>
      <c r="O77" s="1"/>
    </row>
    <row r="78" spans="1:21" x14ac:dyDescent="0.35">
      <c r="B78" s="1" t="s">
        <v>63</v>
      </c>
      <c r="C78" s="48">
        <v>0</v>
      </c>
      <c r="D78" s="48"/>
      <c r="E78" s="49">
        <v>2750</v>
      </c>
      <c r="F78" s="48">
        <f>2736+175.15</f>
        <v>2911.15</v>
      </c>
      <c r="G78" s="49">
        <v>2000</v>
      </c>
      <c r="H78" s="48">
        <v>2120</v>
      </c>
      <c r="I78" s="49">
        <v>1000</v>
      </c>
      <c r="J78" s="48">
        <v>2275</v>
      </c>
      <c r="K78" s="49">
        <f>1000+1500</f>
        <v>2500</v>
      </c>
      <c r="L78" s="49">
        <v>199.5</v>
      </c>
      <c r="O78" s="1"/>
      <c r="U78" s="1" t="s">
        <v>61</v>
      </c>
    </row>
    <row r="79" spans="1:21" x14ac:dyDescent="0.35">
      <c r="B79" s="1" t="s">
        <v>128</v>
      </c>
      <c r="C79" s="48">
        <v>0</v>
      </c>
      <c r="D79" s="48"/>
      <c r="E79" s="49">
        <v>750</v>
      </c>
      <c r="F79" s="48"/>
      <c r="G79" s="49">
        <v>500</v>
      </c>
      <c r="H79" s="48">
        <v>0</v>
      </c>
      <c r="I79" s="49">
        <v>500</v>
      </c>
      <c r="J79" s="48">
        <v>0</v>
      </c>
      <c r="K79" s="49">
        <v>500</v>
      </c>
      <c r="L79" s="51" t="e">
        <f>-GETPIVOTDATA("Amount",'[1]Disb. by Program (2018-19)'!$A$3,"Program","Volunteer Appreciation")</f>
        <v>#REF!</v>
      </c>
      <c r="N79" s="1"/>
      <c r="O79" s="1"/>
    </row>
    <row r="80" spans="1:21" x14ac:dyDescent="0.35">
      <c r="B80" s="25" t="s">
        <v>64</v>
      </c>
      <c r="C80" s="58">
        <f t="shared" ref="C80:L80" si="12">SUM(C74:C79)</f>
        <v>0</v>
      </c>
      <c r="D80" s="58"/>
      <c r="E80" s="59">
        <f>SUM(E74:E79)</f>
        <v>8850</v>
      </c>
      <c r="F80" s="58">
        <f t="shared" ref="F80" si="13">SUM(F74:F79)</f>
        <v>4661.91</v>
      </c>
      <c r="G80" s="59">
        <f>SUM(G74:G79)</f>
        <v>7200</v>
      </c>
      <c r="H80" s="58">
        <f t="shared" si="12"/>
        <v>3819</v>
      </c>
      <c r="I80" s="59">
        <f t="shared" si="12"/>
        <v>5200</v>
      </c>
      <c r="J80" s="58">
        <f t="shared" si="12"/>
        <v>4352</v>
      </c>
      <c r="K80" s="59">
        <f t="shared" si="12"/>
        <v>7400</v>
      </c>
      <c r="L80" s="59" t="e">
        <f t="shared" si="12"/>
        <v>#REF!</v>
      </c>
      <c r="N80" s="1"/>
      <c r="O80" s="1"/>
    </row>
    <row r="81" spans="1:15" ht="5.25" customHeight="1" x14ac:dyDescent="0.35">
      <c r="E81" s="22"/>
      <c r="F81" s="22"/>
      <c r="G81" s="22"/>
      <c r="H81" s="22"/>
      <c r="I81" s="22"/>
      <c r="K81" s="22"/>
      <c r="L81" s="2"/>
      <c r="N81" s="1"/>
      <c r="O81" s="1"/>
    </row>
    <row r="82" spans="1:15" x14ac:dyDescent="0.35">
      <c r="A82" s="28"/>
      <c r="B82" s="29" t="s">
        <v>65</v>
      </c>
      <c r="C82" s="54"/>
      <c r="D82" s="54"/>
      <c r="E82" s="12"/>
      <c r="F82" s="12"/>
      <c r="G82" s="12"/>
      <c r="H82" s="12"/>
      <c r="I82" s="12"/>
      <c r="J82" s="54"/>
      <c r="K82" s="12"/>
      <c r="L82" s="12"/>
      <c r="M82" s="12"/>
      <c r="N82" s="1"/>
      <c r="O82" s="1"/>
    </row>
    <row r="83" spans="1:15" x14ac:dyDescent="0.35">
      <c r="B83" s="64" t="s">
        <v>66</v>
      </c>
      <c r="C83" s="65"/>
      <c r="D83" s="65"/>
      <c r="E83" s="2"/>
      <c r="F83" s="2"/>
      <c r="G83" s="2"/>
      <c r="H83" s="2"/>
      <c r="I83" s="2"/>
      <c r="J83" s="65"/>
      <c r="K83" s="2"/>
      <c r="L83" s="2"/>
      <c r="N83" s="1"/>
      <c r="O83" s="1"/>
    </row>
    <row r="84" spans="1:15" x14ac:dyDescent="0.35">
      <c r="B84" s="66" t="s">
        <v>67</v>
      </c>
      <c r="C84" s="2">
        <v>0</v>
      </c>
      <c r="D84" s="2"/>
      <c r="E84" s="67">
        <v>0</v>
      </c>
      <c r="F84" s="2">
        <v>4.4000000000000004</v>
      </c>
      <c r="G84" s="67">
        <v>0</v>
      </c>
      <c r="H84" s="2">
        <v>0</v>
      </c>
      <c r="I84" s="67">
        <v>800</v>
      </c>
      <c r="J84" s="2">
        <v>0</v>
      </c>
      <c r="K84" s="67">
        <v>800</v>
      </c>
      <c r="L84" s="67" t="e">
        <f>-GETPIVOTDATA("Amount",'[1]Disb. by Program (2018-19)'!$A$3,"Program","Box Tops Contest (2018-19)")</f>
        <v>#REF!</v>
      </c>
      <c r="N84" s="31"/>
      <c r="O84" s="1"/>
    </row>
    <row r="85" spans="1:15" x14ac:dyDescent="0.35">
      <c r="B85" s="66" t="s">
        <v>68</v>
      </c>
      <c r="C85" s="2">
        <f>-'[1]Treasurer''s Report (09.18.19)'!E17+-'[1]Treasurer''s Report (10.23.19)'!E16</f>
        <v>0</v>
      </c>
      <c r="D85" s="2"/>
      <c r="E85" s="67">
        <v>3200</v>
      </c>
      <c r="F85" s="2"/>
      <c r="G85" s="67">
        <v>3200</v>
      </c>
      <c r="H85" s="2">
        <v>2778</v>
      </c>
      <c r="I85" s="67">
        <v>3200</v>
      </c>
      <c r="J85" s="2">
        <f>-'[1]Treasurer''s Report (09.18.19)'!F17+-'[1]Treasurer''s Report (10.23.19)'!F16</f>
        <v>2968.59</v>
      </c>
      <c r="K85" s="67">
        <v>3200</v>
      </c>
      <c r="L85" s="67" t="e">
        <f>-GETPIVOTDATA("Amount",'[1]Disb. by Program (2018-19)'!$A$3,"Program","Subscriptions")-GETPIVOTDATA("Amount",'[1]Disb. by Program (2018-19)'!$A$3,"Program","Subscriptions (2018-19)")</f>
        <v>#REF!</v>
      </c>
      <c r="N85" s="1"/>
      <c r="O85" s="1"/>
    </row>
    <row r="86" spans="1:15" x14ac:dyDescent="0.35">
      <c r="B86" s="66" t="s">
        <v>69</v>
      </c>
      <c r="C86" s="2">
        <v>0</v>
      </c>
      <c r="D86" s="2"/>
      <c r="E86" s="67">
        <v>6400</v>
      </c>
      <c r="F86" s="2">
        <f>3200+3200</f>
        <v>6400</v>
      </c>
      <c r="G86" s="67">
        <f>3200*2</f>
        <v>6400</v>
      </c>
      <c r="H86" s="2">
        <v>3400</v>
      </c>
      <c r="I86" s="67">
        <f>3200*2</f>
        <v>6400</v>
      </c>
      <c r="J86" s="2">
        <f>3200*2</f>
        <v>6400</v>
      </c>
      <c r="K86" s="67">
        <f>3200*2</f>
        <v>6400</v>
      </c>
      <c r="L86" s="67">
        <v>3200</v>
      </c>
      <c r="N86" s="1"/>
      <c r="O86" s="1"/>
    </row>
    <row r="87" spans="1:15" x14ac:dyDescent="0.35">
      <c r="B87" s="66" t="s">
        <v>70</v>
      </c>
      <c r="C87" s="2">
        <v>0</v>
      </c>
      <c r="D87" s="2"/>
      <c r="E87" s="67">
        <v>800</v>
      </c>
      <c r="F87" s="2"/>
      <c r="G87" s="67">
        <v>0</v>
      </c>
      <c r="H87" s="2">
        <v>0</v>
      </c>
      <c r="I87" s="67">
        <v>0</v>
      </c>
      <c r="J87" s="2">
        <v>0</v>
      </c>
      <c r="K87" s="67">
        <v>0</v>
      </c>
      <c r="L87" s="67" t="e">
        <f>-GETPIVOTDATA("Amount",'[1]Disb. by Program (2018-19)'!$A$3,"Program","Subscriptions: Tumblebooks")</f>
        <v>#REF!</v>
      </c>
      <c r="N87" s="1"/>
      <c r="O87" s="1"/>
    </row>
    <row r="88" spans="1:15" x14ac:dyDescent="0.35">
      <c r="B88" s="66" t="s">
        <v>133</v>
      </c>
      <c r="C88" s="2"/>
      <c r="D88" s="2"/>
      <c r="E88" s="67">
        <v>120</v>
      </c>
      <c r="F88" s="2"/>
      <c r="G88" s="67"/>
      <c r="H88" s="2"/>
      <c r="I88" s="67"/>
      <c r="J88" s="2"/>
      <c r="K88" s="67"/>
      <c r="L88" s="67"/>
      <c r="N88" s="1"/>
      <c r="O88" s="1"/>
    </row>
    <row r="89" spans="1:15" x14ac:dyDescent="0.35">
      <c r="B89" s="66" t="s">
        <v>132</v>
      </c>
      <c r="C89" s="2"/>
      <c r="D89" s="2"/>
      <c r="E89" s="67">
        <v>180</v>
      </c>
      <c r="F89" s="2">
        <v>180</v>
      </c>
      <c r="G89" s="67"/>
      <c r="H89" s="2"/>
      <c r="I89" s="67"/>
      <c r="J89" s="2"/>
      <c r="K89" s="67"/>
      <c r="L89" s="67"/>
      <c r="N89" s="1"/>
      <c r="O89" s="1"/>
    </row>
    <row r="90" spans="1:15" x14ac:dyDescent="0.35">
      <c r="A90" s="68"/>
      <c r="B90" s="68" t="s">
        <v>71</v>
      </c>
      <c r="C90" s="68"/>
      <c r="D90" s="68"/>
      <c r="E90" s="67"/>
      <c r="F90" s="2"/>
      <c r="G90" s="67"/>
      <c r="H90" s="2"/>
      <c r="I90" s="67"/>
      <c r="J90" s="68"/>
      <c r="K90" s="67"/>
      <c r="L90" s="67"/>
      <c r="M90" s="68"/>
      <c r="N90" s="1"/>
      <c r="O90" s="1"/>
    </row>
    <row r="91" spans="1:15" x14ac:dyDescent="0.35">
      <c r="A91" s="68"/>
      <c r="B91" s="88" t="s">
        <v>129</v>
      </c>
      <c r="C91" s="2">
        <v>0</v>
      </c>
      <c r="D91" s="2"/>
      <c r="E91" s="67">
        <v>0</v>
      </c>
      <c r="F91" s="2"/>
      <c r="G91" s="67">
        <v>0</v>
      </c>
      <c r="H91" s="2">
        <v>0</v>
      </c>
      <c r="I91" s="67">
        <v>0</v>
      </c>
      <c r="J91" s="69">
        <f>360+719</f>
        <v>1079</v>
      </c>
      <c r="K91" s="67">
        <v>0</v>
      </c>
      <c r="L91" s="67">
        <v>892.46</v>
      </c>
      <c r="M91" s="68"/>
      <c r="N91" s="31"/>
      <c r="O91" s="1"/>
    </row>
    <row r="92" spans="1:15" x14ac:dyDescent="0.35">
      <c r="B92" s="88" t="s">
        <v>130</v>
      </c>
      <c r="C92" s="2">
        <v>0</v>
      </c>
      <c r="D92" s="2"/>
      <c r="E92" s="67">
        <v>0</v>
      </c>
      <c r="F92" s="2"/>
      <c r="G92" s="67">
        <v>0</v>
      </c>
      <c r="H92" s="2">
        <v>0</v>
      </c>
      <c r="I92" s="67">
        <v>0</v>
      </c>
      <c r="J92" s="69">
        <v>1000</v>
      </c>
      <c r="K92" s="67">
        <v>0</v>
      </c>
      <c r="L92" s="67">
        <v>688.5</v>
      </c>
      <c r="N92" s="1"/>
      <c r="O92" s="1"/>
    </row>
    <row r="93" spans="1:15" x14ac:dyDescent="0.35">
      <c r="B93" s="88" t="s">
        <v>131</v>
      </c>
      <c r="C93" s="2">
        <v>0</v>
      </c>
      <c r="D93" s="2"/>
      <c r="E93" s="67">
        <v>0</v>
      </c>
      <c r="F93" s="2"/>
      <c r="G93" s="67">
        <v>0</v>
      </c>
      <c r="H93" s="2">
        <v>0</v>
      </c>
      <c r="I93" s="67">
        <v>0</v>
      </c>
      <c r="J93" s="69">
        <v>1872</v>
      </c>
      <c r="K93" s="67">
        <v>0</v>
      </c>
      <c r="L93" s="67">
        <v>680.48</v>
      </c>
      <c r="N93" s="1"/>
      <c r="O93" s="1"/>
    </row>
    <row r="94" spans="1:15" x14ac:dyDescent="0.35">
      <c r="B94" s="25" t="s">
        <v>72</v>
      </c>
      <c r="C94" s="26">
        <f t="shared" ref="C94:L94" si="14">SUM(C84:C93)</f>
        <v>0</v>
      </c>
      <c r="D94" s="26"/>
      <c r="E94" s="27">
        <f>SUM(E84:E93)</f>
        <v>10700</v>
      </c>
      <c r="F94" s="26">
        <f t="shared" ref="F94" si="15">SUM(F84:F93)</f>
        <v>6584.4</v>
      </c>
      <c r="G94" s="27">
        <f>SUM(G84:G93)</f>
        <v>9600</v>
      </c>
      <c r="H94" s="26">
        <f t="shared" si="14"/>
        <v>6178</v>
      </c>
      <c r="I94" s="27">
        <f t="shared" si="14"/>
        <v>10400</v>
      </c>
      <c r="J94" s="26">
        <f t="shared" si="14"/>
        <v>13319.59</v>
      </c>
      <c r="K94" s="27">
        <f t="shared" si="14"/>
        <v>10400</v>
      </c>
      <c r="L94" s="27" t="e">
        <f t="shared" si="14"/>
        <v>#REF!</v>
      </c>
      <c r="N94" s="1"/>
      <c r="O94" s="1"/>
    </row>
    <row r="95" spans="1:15" ht="5.25" customHeight="1" x14ac:dyDescent="0.35">
      <c r="C95" s="22"/>
      <c r="D95" s="22"/>
      <c r="E95" s="22"/>
      <c r="F95" s="22"/>
      <c r="G95" s="22"/>
      <c r="H95" s="22"/>
      <c r="I95" s="22"/>
      <c r="J95" s="22"/>
      <c r="K95" s="22"/>
      <c r="L95" s="22"/>
      <c r="N95" s="1"/>
      <c r="O95" s="1"/>
    </row>
    <row r="96" spans="1:15" x14ac:dyDescent="0.35">
      <c r="A96" s="28"/>
      <c r="B96" s="29" t="s">
        <v>73</v>
      </c>
      <c r="C96" s="54"/>
      <c r="D96" s="54"/>
      <c r="E96" s="12"/>
      <c r="F96" s="12"/>
      <c r="G96" s="12"/>
      <c r="H96" s="12"/>
      <c r="I96" s="12"/>
      <c r="J96" s="54"/>
      <c r="K96" s="12"/>
      <c r="L96" s="12"/>
      <c r="M96" s="12"/>
      <c r="N96" s="1"/>
      <c r="O96" s="1"/>
    </row>
    <row r="97" spans="1:15" x14ac:dyDescent="0.35">
      <c r="B97" s="1" t="s">
        <v>74</v>
      </c>
      <c r="C97" s="2">
        <f>-'[1]Treasurer''s Report (4.22.2020)'!E13+-'[1]Treasurer''s Report (2.19.20)'!E14</f>
        <v>0</v>
      </c>
      <c r="D97" s="2"/>
      <c r="E97" s="67">
        <v>4000</v>
      </c>
      <c r="F97" s="2"/>
      <c r="G97" s="67">
        <v>3000</v>
      </c>
      <c r="H97" s="2">
        <v>0</v>
      </c>
      <c r="I97" s="67">
        <v>3000</v>
      </c>
      <c r="J97" s="2">
        <v>2616</v>
      </c>
      <c r="K97" s="67">
        <v>3000</v>
      </c>
      <c r="L97" s="67" t="e">
        <f>-GETPIVOTDATA("Amount",'[1]Disb. by Program (2018-19)'!$A$3,"Program","Daddy Daughter Dance")</f>
        <v>#REF!</v>
      </c>
      <c r="N97" s="1"/>
      <c r="O97" s="1"/>
    </row>
    <row r="98" spans="1:15" x14ac:dyDescent="0.35">
      <c r="B98" s="1" t="s">
        <v>75</v>
      </c>
      <c r="C98" s="2">
        <v>0</v>
      </c>
      <c r="D98" s="2"/>
      <c r="E98" s="67">
        <v>4000</v>
      </c>
      <c r="F98" s="2">
        <v>3215.07</v>
      </c>
      <c r="G98" s="67">
        <v>3000</v>
      </c>
      <c r="H98" s="2">
        <v>0</v>
      </c>
      <c r="I98" s="67">
        <v>3000</v>
      </c>
      <c r="J98" s="2">
        <v>0</v>
      </c>
      <c r="K98" s="67">
        <v>3000</v>
      </c>
      <c r="L98" s="67" t="e">
        <f>-GETPIVOTDATA("Amount",'[1]Disb. by Program (2018-19)'!$A$3,"Program","Mom Son Game Night")+-'[1]Treasurer''s Report (10.23.19)'!F24</f>
        <v>#REF!</v>
      </c>
      <c r="N98" s="1"/>
      <c r="O98" s="1"/>
    </row>
    <row r="99" spans="1:15" x14ac:dyDescent="0.35">
      <c r="B99" s="1" t="s">
        <v>76</v>
      </c>
      <c r="C99" s="2">
        <f>-'[1]Treasurer''s Report (09.18.19)'!E20</f>
        <v>0</v>
      </c>
      <c r="D99" s="2"/>
      <c r="E99" s="49">
        <v>250</v>
      </c>
      <c r="F99" s="48"/>
      <c r="G99" s="49">
        <v>250</v>
      </c>
      <c r="H99" s="48">
        <v>117</v>
      </c>
      <c r="I99" s="49">
        <v>250</v>
      </c>
      <c r="J99" s="2">
        <v>27</v>
      </c>
      <c r="K99" s="49">
        <v>250</v>
      </c>
      <c r="L99" s="49">
        <v>0</v>
      </c>
      <c r="N99" s="1"/>
      <c r="O99" s="1"/>
    </row>
    <row r="100" spans="1:15" x14ac:dyDescent="0.35">
      <c r="B100" s="1" t="s">
        <v>77</v>
      </c>
      <c r="C100" s="2">
        <v>0</v>
      </c>
      <c r="D100" s="2"/>
      <c r="E100" s="49">
        <v>1000</v>
      </c>
      <c r="F100" s="48">
        <v>103</v>
      </c>
      <c r="G100" s="49">
        <v>600</v>
      </c>
      <c r="H100" s="48">
        <v>0</v>
      </c>
      <c r="I100" s="49">
        <v>600</v>
      </c>
      <c r="J100" s="2">
        <v>217</v>
      </c>
      <c r="K100" s="49">
        <v>600</v>
      </c>
      <c r="L100" s="49" t="e">
        <f>-GETPIVOTDATA("Amount",'[1]Disb. by Program (2018-19)'!$A$3,"Program","Family Reading Night")</f>
        <v>#REF!</v>
      </c>
      <c r="N100" s="1"/>
      <c r="O100" s="1"/>
    </row>
    <row r="101" spans="1:15" x14ac:dyDescent="0.35">
      <c r="B101" s="1" t="s">
        <v>134</v>
      </c>
      <c r="C101" s="2"/>
      <c r="D101" s="2"/>
      <c r="E101" s="49">
        <v>1000</v>
      </c>
      <c r="F101" s="48"/>
      <c r="G101" s="49"/>
      <c r="H101" s="48"/>
      <c r="I101" s="49"/>
      <c r="J101" s="2"/>
      <c r="K101" s="49"/>
      <c r="L101" s="49"/>
      <c r="N101" s="1"/>
      <c r="O101" s="1"/>
    </row>
    <row r="102" spans="1:15" x14ac:dyDescent="0.35">
      <c r="B102" s="1" t="s">
        <v>78</v>
      </c>
      <c r="C102" s="70">
        <v>0</v>
      </c>
      <c r="D102" s="70"/>
      <c r="E102" s="49">
        <v>2000</v>
      </c>
      <c r="F102" s="48"/>
      <c r="G102" s="49">
        <v>2000</v>
      </c>
      <c r="H102" s="48">
        <f>-'[2]Treasurer''s Report (2.2021)'!F12</f>
        <v>1782</v>
      </c>
      <c r="I102" s="49">
        <v>2000</v>
      </c>
      <c r="J102" s="70">
        <v>0</v>
      </c>
      <c r="K102" s="49">
        <v>2000</v>
      </c>
      <c r="L102" s="49" t="e">
        <f>-GETPIVOTDATA("Amount",'[1]Disb. by Program (2018-19)'!$A$3,"Program","One Book, One School")</f>
        <v>#REF!</v>
      </c>
      <c r="N102" s="1"/>
      <c r="O102" s="1"/>
    </row>
    <row r="103" spans="1:15" x14ac:dyDescent="0.35">
      <c r="B103" s="25" t="s">
        <v>79</v>
      </c>
      <c r="C103" s="26">
        <f t="shared" ref="C103:L103" si="16">SUM(C97:C102)</f>
        <v>0</v>
      </c>
      <c r="D103" s="26"/>
      <c r="E103" s="27">
        <f>SUM(E97:E102)</f>
        <v>12250</v>
      </c>
      <c r="F103" s="26">
        <f t="shared" ref="F103" si="17">SUM(F97:F102)</f>
        <v>3318.07</v>
      </c>
      <c r="G103" s="27">
        <f>SUM(G97:G102)</f>
        <v>8850</v>
      </c>
      <c r="H103" s="26">
        <f t="shared" si="16"/>
        <v>1899</v>
      </c>
      <c r="I103" s="27">
        <f t="shared" si="16"/>
        <v>8850</v>
      </c>
      <c r="J103" s="26">
        <f t="shared" si="16"/>
        <v>2860</v>
      </c>
      <c r="K103" s="27">
        <f t="shared" si="16"/>
        <v>8850</v>
      </c>
      <c r="L103" s="27" t="e">
        <f t="shared" si="16"/>
        <v>#REF!</v>
      </c>
      <c r="N103" s="1"/>
      <c r="O103" s="1"/>
    </row>
    <row r="104" spans="1:15" ht="15.75" customHeight="1" x14ac:dyDescent="0.35">
      <c r="A104" s="28"/>
      <c r="B104" s="71" t="s">
        <v>115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12"/>
      <c r="N104" s="1"/>
      <c r="O104" s="1"/>
    </row>
    <row r="105" spans="1:15" x14ac:dyDescent="0.35">
      <c r="B105" s="1" t="s">
        <v>116</v>
      </c>
      <c r="C105" s="2">
        <v>0</v>
      </c>
      <c r="D105" s="2"/>
      <c r="E105" s="72"/>
      <c r="F105" s="73"/>
      <c r="G105" s="72"/>
      <c r="H105" s="73">
        <v>1121.6500000000001</v>
      </c>
      <c r="I105" s="72"/>
      <c r="J105" s="2">
        <f>-'[1]Disbursements (2019-20)'!F38+328.65</f>
        <v>943.65</v>
      </c>
      <c r="K105" s="72"/>
      <c r="L105" s="67">
        <f>527+290.72</f>
        <v>817.72</v>
      </c>
      <c r="N105" s="1"/>
      <c r="O105" s="1"/>
    </row>
    <row r="106" spans="1:15" x14ac:dyDescent="0.35">
      <c r="B106" s="1" t="s">
        <v>117</v>
      </c>
      <c r="C106" s="2">
        <v>0</v>
      </c>
      <c r="D106" s="2"/>
      <c r="E106" s="72"/>
      <c r="F106" s="73">
        <f>2200+655</f>
        <v>2855</v>
      </c>
      <c r="G106" s="72"/>
      <c r="H106" s="73"/>
      <c r="I106" s="72"/>
      <c r="J106" s="2">
        <v>615</v>
      </c>
      <c r="K106" s="72"/>
      <c r="L106" s="67">
        <f>527+290.72</f>
        <v>817.72</v>
      </c>
      <c r="N106" s="1"/>
      <c r="O106" s="1"/>
    </row>
    <row r="107" spans="1:15" x14ac:dyDescent="0.35">
      <c r="B107" s="1" t="s">
        <v>118</v>
      </c>
      <c r="C107" s="2">
        <v>0</v>
      </c>
      <c r="D107" s="2"/>
      <c r="E107" s="67"/>
      <c r="F107" s="2"/>
      <c r="G107" s="67"/>
      <c r="H107" s="2">
        <v>1620.43</v>
      </c>
      <c r="I107" s="67"/>
      <c r="J107" s="2"/>
      <c r="K107" s="67"/>
      <c r="L107" s="67">
        <f>458+574.5</f>
        <v>1032.5</v>
      </c>
      <c r="N107" s="1"/>
      <c r="O107" s="1"/>
    </row>
    <row r="108" spans="1:15" x14ac:dyDescent="0.35">
      <c r="B108" s="31" t="s">
        <v>119</v>
      </c>
      <c r="C108" s="2">
        <v>0</v>
      </c>
      <c r="D108" s="2"/>
      <c r="E108" s="67"/>
      <c r="F108" s="2">
        <v>795</v>
      </c>
      <c r="G108" s="67"/>
      <c r="H108" s="2"/>
      <c r="I108" s="67"/>
      <c r="J108" s="2">
        <f>540+267.05</f>
        <v>807.05</v>
      </c>
      <c r="K108" s="67"/>
      <c r="L108" s="67">
        <f>755.5+346.67</f>
        <v>1102.17</v>
      </c>
      <c r="N108" s="1"/>
      <c r="O108" s="1"/>
    </row>
    <row r="109" spans="1:15" x14ac:dyDescent="0.35">
      <c r="B109" s="1" t="s">
        <v>120</v>
      </c>
      <c r="C109" s="2">
        <v>0</v>
      </c>
      <c r="D109" s="2"/>
      <c r="E109" s="67"/>
      <c r="F109" s="2">
        <v>795</v>
      </c>
      <c r="G109" s="67"/>
      <c r="H109" s="2">
        <v>600</v>
      </c>
      <c r="I109" s="67"/>
      <c r="J109" s="2">
        <f>540+267.25</f>
        <v>807.25</v>
      </c>
      <c r="K109" s="67"/>
      <c r="L109" s="67">
        <f>510+123.49</f>
        <v>633.49</v>
      </c>
      <c r="N109" s="1"/>
      <c r="O109" s="1"/>
    </row>
    <row r="110" spans="1:15" x14ac:dyDescent="0.35">
      <c r="B110" s="1" t="s">
        <v>121</v>
      </c>
      <c r="C110" s="2">
        <v>0</v>
      </c>
      <c r="D110" s="2"/>
      <c r="E110" s="67"/>
      <c r="F110" s="2"/>
      <c r="G110" s="67"/>
      <c r="H110" s="2"/>
      <c r="I110" s="67"/>
      <c r="J110" s="2"/>
      <c r="K110" s="67"/>
      <c r="L110" s="67">
        <f>531+573.06</f>
        <v>1104.06</v>
      </c>
      <c r="N110" s="1"/>
      <c r="O110" s="1"/>
    </row>
    <row r="111" spans="1:15" x14ac:dyDescent="0.35">
      <c r="B111" s="1" t="s">
        <v>122</v>
      </c>
      <c r="C111" s="2">
        <v>0</v>
      </c>
      <c r="D111" s="2"/>
      <c r="E111" s="67"/>
      <c r="F111" s="2">
        <v>995</v>
      </c>
      <c r="G111" s="67"/>
      <c r="H111" s="2">
        <v>444</v>
      </c>
      <c r="I111" s="67"/>
      <c r="J111" s="2">
        <f>-'[1]Disbursements (2019-20)'!F84</f>
        <v>1085</v>
      </c>
      <c r="K111" s="67"/>
      <c r="L111" s="67">
        <f>652.5+253.63</f>
        <v>906.13</v>
      </c>
      <c r="N111" s="1"/>
      <c r="O111" s="1"/>
    </row>
    <row r="112" spans="1:15" x14ac:dyDescent="0.35">
      <c r="B112" s="1" t="s">
        <v>123</v>
      </c>
      <c r="C112" s="2">
        <v>0</v>
      </c>
      <c r="D112" s="2"/>
      <c r="E112" s="67"/>
      <c r="F112" s="2"/>
      <c r="G112" s="67"/>
      <c r="H112" s="2"/>
      <c r="I112" s="67"/>
      <c r="J112" s="2"/>
      <c r="K112" s="67"/>
      <c r="L112" s="67">
        <f>1265.5+128+689.84+37</f>
        <v>2120.34</v>
      </c>
      <c r="N112" s="1"/>
      <c r="O112" s="1"/>
    </row>
    <row r="113" spans="1:17" x14ac:dyDescent="0.35">
      <c r="B113" s="1" t="s">
        <v>124</v>
      </c>
      <c r="C113" s="2">
        <v>0</v>
      </c>
      <c r="D113" s="2"/>
      <c r="E113" s="67"/>
      <c r="F113" s="2">
        <v>599</v>
      </c>
      <c r="G113" s="67"/>
      <c r="H113" s="2">
        <v>1354</v>
      </c>
      <c r="I113" s="67"/>
      <c r="J113" s="2">
        <f>-'[1]Disbursements (2019-20)'!F45+-'[1]Disbursements (2019-20)'!F99</f>
        <v>990.4</v>
      </c>
      <c r="K113" s="67"/>
      <c r="L113" s="67">
        <f>936+327.81</f>
        <v>1263.81</v>
      </c>
      <c r="N113" s="1"/>
      <c r="O113" s="1"/>
    </row>
    <row r="114" spans="1:17" s="2" customFormat="1" x14ac:dyDescent="0.35">
      <c r="B114" s="1" t="s">
        <v>125</v>
      </c>
      <c r="C114" s="2">
        <v>0</v>
      </c>
      <c r="E114" s="67"/>
      <c r="F114" s="2">
        <v>200</v>
      </c>
      <c r="G114" s="67"/>
      <c r="H114" s="2">
        <v>1121.6500000000001</v>
      </c>
      <c r="I114" s="67"/>
      <c r="K114" s="67"/>
      <c r="L114" s="67">
        <f>453+325</f>
        <v>778</v>
      </c>
      <c r="N114" s="1"/>
    </row>
    <row r="115" spans="1:17" s="2" customFormat="1" x14ac:dyDescent="0.35">
      <c r="B115" s="1" t="s">
        <v>126</v>
      </c>
      <c r="C115" s="2">
        <v>0</v>
      </c>
      <c r="E115" s="67"/>
      <c r="G115" s="67"/>
      <c r="I115" s="67"/>
      <c r="J115" s="2">
        <f>-'[1]Disbursements (2019-20)'!F86+-'[1]Disbursements (2019-20)'!F105</f>
        <v>768.56</v>
      </c>
      <c r="K115" s="67"/>
      <c r="L115" s="67">
        <f>576+293.49</f>
        <v>869.49</v>
      </c>
      <c r="N115" s="1"/>
    </row>
    <row r="116" spans="1:17" s="2" customFormat="1" x14ac:dyDescent="0.35">
      <c r="B116" s="1" t="s">
        <v>127</v>
      </c>
      <c r="C116" s="2">
        <v>0</v>
      </c>
      <c r="E116" s="67"/>
      <c r="F116" s="2">
        <v>1095</v>
      </c>
      <c r="G116" s="67"/>
      <c r="H116" s="2">
        <v>995</v>
      </c>
      <c r="I116" s="67"/>
      <c r="J116" s="2">
        <f>-'[1]Disbursements (2019-20)'!F37+-'[1]Disbursements (2019-20)'!F89</f>
        <v>708.33</v>
      </c>
      <c r="K116" s="67"/>
      <c r="L116" s="67">
        <f>1307+500.57</f>
        <v>1807.57</v>
      </c>
      <c r="N116" s="1"/>
    </row>
    <row r="117" spans="1:17" s="2" customFormat="1" x14ac:dyDescent="0.35">
      <c r="B117" s="25" t="s">
        <v>80</v>
      </c>
      <c r="C117" s="26">
        <f>SUM(C105:C116)</f>
        <v>0</v>
      </c>
      <c r="D117" s="26"/>
      <c r="E117" s="27">
        <v>25000</v>
      </c>
      <c r="F117" s="26">
        <f>SUM(F105:F116)</f>
        <v>7334</v>
      </c>
      <c r="G117" s="27">
        <v>15000</v>
      </c>
      <c r="H117" s="26">
        <f>SUM(H105:H116)</f>
        <v>7256.73</v>
      </c>
      <c r="I117" s="27">
        <v>15000</v>
      </c>
      <c r="J117" s="26">
        <f>SUM(J105:J116)</f>
        <v>6725.24</v>
      </c>
      <c r="K117" s="27">
        <v>15000</v>
      </c>
      <c r="L117" s="27">
        <f>SUM(L105:L116)</f>
        <v>13253</v>
      </c>
      <c r="N117" s="1"/>
    </row>
    <row r="118" spans="1:17" x14ac:dyDescent="0.35">
      <c r="A118" s="28"/>
      <c r="B118" s="71" t="s">
        <v>81</v>
      </c>
      <c r="C118" s="74"/>
      <c r="D118" s="74"/>
      <c r="E118" s="12"/>
      <c r="F118" s="12"/>
      <c r="G118" s="12"/>
      <c r="H118" s="12"/>
      <c r="I118" s="12"/>
      <c r="J118" s="74"/>
      <c r="K118" s="12"/>
      <c r="L118" s="12"/>
      <c r="M118" s="12"/>
      <c r="N118" s="1"/>
      <c r="O118" s="1"/>
    </row>
    <row r="119" spans="1:17" x14ac:dyDescent="0.35">
      <c r="B119" s="1" t="s">
        <v>82</v>
      </c>
      <c r="C119" s="48">
        <v>0</v>
      </c>
      <c r="D119" s="48"/>
      <c r="E119" s="49">
        <v>1500</v>
      </c>
      <c r="F119" s="48"/>
      <c r="G119" s="49">
        <v>300</v>
      </c>
      <c r="H119" s="48">
        <v>0</v>
      </c>
      <c r="I119" s="49">
        <v>300</v>
      </c>
      <c r="J119" s="75">
        <v>0</v>
      </c>
      <c r="K119" s="49">
        <v>300</v>
      </c>
      <c r="L119" s="49">
        <f>-'[1]Disb. by Program (2018-19)'!B70</f>
        <v>90</v>
      </c>
      <c r="N119" s="1"/>
      <c r="O119" s="1"/>
    </row>
    <row r="120" spans="1:17" x14ac:dyDescent="0.35">
      <c r="B120" s="1" t="s">
        <v>83</v>
      </c>
      <c r="C120" s="48">
        <f>-'[1]Treasurer''s Report (10.23.19)'!E21+-'[1]Treasurer''s Report (11.20.19)'!E19+-'[1]Treasurer''s Report (1.22.20)'!E19+-'[1]Treasurer''s Report (2.19.20)'!E15+-'[1]Treasurer''s Report (4.22.2020)'!E15</f>
        <v>0</v>
      </c>
      <c r="D120" s="48"/>
      <c r="E120" s="49">
        <v>38000</v>
      </c>
      <c r="F120" s="48"/>
      <c r="G120" s="49">
        <v>33000</v>
      </c>
      <c r="H120" s="48">
        <f>-'[2]Treasurer''s Report (1.20.2021)'!F18</f>
        <v>26.48</v>
      </c>
      <c r="I120" s="49">
        <v>33000</v>
      </c>
      <c r="J120" s="48">
        <f>-'[1]Treasurer''s Report (10.23.19)'!F21+-'[1]Treasurer''s Report (11.20.19)'!F19+-'[1]Treasurer''s Report (1.22.20)'!F19+-'[1]Treasurer''s Report (2.19.20)'!F15+-'[1]Treasurer''s Report (4.22.2020)'!F15</f>
        <v>23993.73</v>
      </c>
      <c r="K120" s="49">
        <v>33000</v>
      </c>
      <c r="L120" s="49" t="e">
        <f>-GETPIVOTDATA("Amount",'[1]Disb. by Program (2018-19)'!$A$3,"Program","Fun Lunch")</f>
        <v>#REF!</v>
      </c>
      <c r="N120" s="1"/>
      <c r="O120" s="1"/>
    </row>
    <row r="121" spans="1:17" x14ac:dyDescent="0.35">
      <c r="B121" s="1" t="s">
        <v>84</v>
      </c>
      <c r="C121" s="48">
        <v>0</v>
      </c>
      <c r="D121" s="48"/>
      <c r="E121" s="49">
        <v>700</v>
      </c>
      <c r="F121" s="48"/>
      <c r="G121" s="49">
        <v>700</v>
      </c>
      <c r="H121" s="48">
        <v>0</v>
      </c>
      <c r="I121" s="49">
        <v>0</v>
      </c>
      <c r="J121" s="75">
        <v>0</v>
      </c>
      <c r="K121" s="49">
        <v>0</v>
      </c>
      <c r="L121" s="49">
        <v>0</v>
      </c>
      <c r="N121" s="31"/>
      <c r="O121" s="1"/>
    </row>
    <row r="122" spans="1:17" x14ac:dyDescent="0.35">
      <c r="B122" s="1" t="s">
        <v>85</v>
      </c>
      <c r="C122" s="2">
        <v>0</v>
      </c>
      <c r="D122" s="2"/>
      <c r="E122" s="49">
        <v>4100</v>
      </c>
      <c r="F122" s="48"/>
      <c r="G122" s="49">
        <f>1600+2500</f>
        <v>4100</v>
      </c>
      <c r="H122" s="48">
        <v>2000</v>
      </c>
      <c r="I122" s="49">
        <f>1600+2500</f>
        <v>4100</v>
      </c>
      <c r="J122" s="2">
        <v>59</v>
      </c>
      <c r="K122" s="49">
        <f>1600+2500</f>
        <v>4100</v>
      </c>
      <c r="L122" s="49" t="e">
        <f>-GETPIVOTDATA("Amount",'[1]Disb. by Program (2018-19)'!$A$3,"Program","Healthy Snacks")+-'[1]Treasurer''s Report (09.18.19)'!F25</f>
        <v>#REF!</v>
      </c>
      <c r="N122" s="1"/>
      <c r="O122" s="1"/>
    </row>
    <row r="123" spans="1:17" x14ac:dyDescent="0.35">
      <c r="B123" s="1" t="s">
        <v>135</v>
      </c>
      <c r="C123" s="2"/>
      <c r="D123" s="2"/>
      <c r="E123" s="49">
        <f>11*500</f>
        <v>5500</v>
      </c>
      <c r="F123" s="48"/>
      <c r="G123" s="49"/>
      <c r="H123" s="48"/>
      <c r="I123" s="49"/>
      <c r="J123" s="2"/>
      <c r="K123" s="49"/>
      <c r="L123" s="49"/>
      <c r="N123" s="1"/>
      <c r="O123" s="1"/>
    </row>
    <row r="124" spans="1:17" x14ac:dyDescent="0.35">
      <c r="B124" s="1" t="s">
        <v>137</v>
      </c>
      <c r="C124" s="2"/>
      <c r="D124" s="2"/>
      <c r="E124" s="49">
        <v>500</v>
      </c>
      <c r="F124" s="48"/>
      <c r="G124" s="49"/>
      <c r="H124" s="48"/>
      <c r="I124" s="49"/>
      <c r="J124" s="2"/>
      <c r="K124" s="49"/>
      <c r="L124" s="49"/>
      <c r="N124" s="1"/>
      <c r="O124" s="1"/>
    </row>
    <row r="125" spans="1:17" ht="13.5" customHeight="1" x14ac:dyDescent="0.35">
      <c r="B125" s="1" t="s">
        <v>86</v>
      </c>
      <c r="C125" s="48">
        <v>0</v>
      </c>
      <c r="D125" s="48"/>
      <c r="E125" s="49">
        <v>100</v>
      </c>
      <c r="F125" s="48"/>
      <c r="G125" s="49">
        <v>300</v>
      </c>
      <c r="H125" s="48">
        <v>0</v>
      </c>
      <c r="I125" s="49">
        <v>300</v>
      </c>
      <c r="J125" s="75">
        <v>0</v>
      </c>
      <c r="K125" s="49">
        <v>300</v>
      </c>
      <c r="L125" s="49" t="e">
        <f>-GETPIVOTDATA("Amount",'[1]Disb. by Program (2018-19)'!$A$3,"Program","Welcome Committee (Signs)")</f>
        <v>#REF!</v>
      </c>
      <c r="N125" s="1"/>
      <c r="O125" s="1"/>
    </row>
    <row r="126" spans="1:17" ht="18" customHeight="1" x14ac:dyDescent="0.35">
      <c r="B126" s="25" t="s">
        <v>87</v>
      </c>
      <c r="C126" s="26">
        <f t="shared" ref="C126:L126" si="18">SUM(C119:C125)</f>
        <v>0</v>
      </c>
      <c r="D126" s="26"/>
      <c r="E126" s="27">
        <f>SUM(E119:E125)</f>
        <v>50400</v>
      </c>
      <c r="F126" s="26">
        <f t="shared" ref="F126" si="19">SUM(F119:F125)</f>
        <v>0</v>
      </c>
      <c r="G126" s="27">
        <f>SUM(G119:G125)</f>
        <v>38400</v>
      </c>
      <c r="H126" s="26">
        <f t="shared" si="18"/>
        <v>2026.48</v>
      </c>
      <c r="I126" s="27">
        <f t="shared" si="18"/>
        <v>37700</v>
      </c>
      <c r="J126" s="26">
        <f t="shared" si="18"/>
        <v>24052.73</v>
      </c>
      <c r="K126" s="27">
        <f t="shared" si="18"/>
        <v>37700</v>
      </c>
      <c r="L126" s="27" t="e">
        <f t="shared" si="18"/>
        <v>#REF!</v>
      </c>
      <c r="N126" s="1"/>
      <c r="O126" s="1"/>
    </row>
    <row r="127" spans="1:17" s="2" customFormat="1" x14ac:dyDescent="0.35">
      <c r="A127" s="28"/>
      <c r="B127" s="29" t="s">
        <v>88</v>
      </c>
      <c r="C127" s="54"/>
      <c r="D127" s="54"/>
      <c r="E127" s="12"/>
      <c r="F127" s="12"/>
      <c r="G127" s="12"/>
      <c r="H127" s="12"/>
      <c r="I127" s="12"/>
      <c r="J127" s="54"/>
      <c r="K127" s="12"/>
      <c r="L127" s="12"/>
      <c r="M127" s="12"/>
      <c r="N127" s="1"/>
      <c r="Q127" s="2">
        <f>41465-40605</f>
        <v>860</v>
      </c>
    </row>
    <row r="128" spans="1:17" s="2" customFormat="1" x14ac:dyDescent="0.35">
      <c r="B128" s="1" t="s">
        <v>89</v>
      </c>
      <c r="C128" s="48">
        <f>-'[1]Treasurer''s Report (09.18.19)'!E24+-'[1]Treasurer''s Report (10.23.19)'!E23</f>
        <v>0</v>
      </c>
      <c r="D128" s="48"/>
      <c r="E128" s="67">
        <v>1300</v>
      </c>
      <c r="F128" s="2">
        <f>50.5+5.5+433+19+19+5.5</f>
        <v>532.5</v>
      </c>
      <c r="G128" s="67">
        <v>1300</v>
      </c>
      <c r="H128" s="2">
        <f>-'[2]Treasurer''s Report (10.2020)'!F14+'[2]Treasurer''s Report (4.21.2021)'!F15</f>
        <v>346.5</v>
      </c>
      <c r="I128" s="67">
        <v>1300</v>
      </c>
      <c r="J128" s="48">
        <f>-'[1]Treasurer''s Report (09.18.19)'!F24+-'[1]Treasurer''s Report (10.23.19)'!F23</f>
        <v>532</v>
      </c>
      <c r="K128" s="67">
        <v>1300</v>
      </c>
      <c r="L128" s="67">
        <f>-'[1]Disb. by Program (2018-19)'!B66</f>
        <v>1221.5</v>
      </c>
      <c r="N128" s="76"/>
    </row>
    <row r="129" spans="1:15" s="2" customFormat="1" x14ac:dyDescent="0.35">
      <c r="B129" s="1" t="s">
        <v>90</v>
      </c>
      <c r="C129" s="48">
        <v>0</v>
      </c>
      <c r="D129" s="48"/>
      <c r="E129" s="49">
        <v>100</v>
      </c>
      <c r="F129" s="48">
        <v>100</v>
      </c>
      <c r="G129" s="49">
        <v>100</v>
      </c>
      <c r="H129" s="48">
        <f>-'[2]Treasurer''s Report (10.2020)'!F12</f>
        <v>100</v>
      </c>
      <c r="I129" s="49">
        <v>100</v>
      </c>
      <c r="J129" s="48">
        <f>-'[1]Disbursements (2019-20)'!F69</f>
        <v>100</v>
      </c>
      <c r="K129" s="49">
        <v>75</v>
      </c>
      <c r="L129" s="51" t="e">
        <f>-GETPIVOTDATA("Amount",'[1]Disb. by Program (2018-19)'!$A$3,"Program","Dues (2018-19)")</f>
        <v>#REF!</v>
      </c>
      <c r="N129" s="1"/>
    </row>
    <row r="130" spans="1:15" s="2" customFormat="1" x14ac:dyDescent="0.35">
      <c r="B130" s="25" t="s">
        <v>91</v>
      </c>
      <c r="C130" s="58">
        <f t="shared" ref="C130:L130" si="20">SUM(C128:C129)</f>
        <v>0</v>
      </c>
      <c r="D130" s="58"/>
      <c r="E130" s="59">
        <f>SUM(E128:E129)</f>
        <v>1400</v>
      </c>
      <c r="F130" s="58">
        <f t="shared" ref="F130" si="21">SUM(F128:F129)</f>
        <v>632.5</v>
      </c>
      <c r="G130" s="59">
        <f>SUM(G128:G129)</f>
        <v>1400</v>
      </c>
      <c r="H130" s="58">
        <f t="shared" si="20"/>
        <v>446.5</v>
      </c>
      <c r="I130" s="59">
        <f t="shared" si="20"/>
        <v>1400</v>
      </c>
      <c r="J130" s="58">
        <f t="shared" si="20"/>
        <v>632</v>
      </c>
      <c r="K130" s="59">
        <f t="shared" si="20"/>
        <v>1375</v>
      </c>
      <c r="L130" s="59" t="e">
        <f t="shared" si="20"/>
        <v>#REF!</v>
      </c>
      <c r="N130" s="1"/>
    </row>
    <row r="131" spans="1:15" s="2" customFormat="1" x14ac:dyDescent="0.35">
      <c r="A131" s="28"/>
      <c r="B131" s="29" t="s">
        <v>92</v>
      </c>
      <c r="C131" s="54"/>
      <c r="D131" s="54"/>
      <c r="E131" s="12"/>
      <c r="F131" s="12"/>
      <c r="G131" s="12"/>
      <c r="H131" s="12"/>
      <c r="I131" s="12"/>
      <c r="J131" s="54"/>
      <c r="K131" s="12"/>
      <c r="L131" s="12"/>
      <c r="M131" s="12"/>
      <c r="N131" s="1"/>
    </row>
    <row r="132" spans="1:15" s="2" customFormat="1" x14ac:dyDescent="0.35">
      <c r="B132" s="1" t="s">
        <v>93</v>
      </c>
      <c r="C132" s="48">
        <f>-'[1]Treasurer''s Report (4.22.2020)'!E18</f>
        <v>0</v>
      </c>
      <c r="D132" s="48"/>
      <c r="E132" s="49">
        <v>5100</v>
      </c>
      <c r="F132" s="48">
        <v>4000</v>
      </c>
      <c r="G132" s="49">
        <v>4000</v>
      </c>
      <c r="H132" s="48">
        <v>3000</v>
      </c>
      <c r="I132" s="49">
        <v>3000</v>
      </c>
      <c r="J132" s="48">
        <f>-'[1]Treasurer''s Report (4.22.2020)'!F18</f>
        <v>3000</v>
      </c>
      <c r="K132" s="49">
        <v>3000</v>
      </c>
      <c r="L132" s="49" t="e">
        <f>-GETPIVOTDATA("Amount",'[1]Disb. by Program (2018-19)'!$A$3,"Program","Scholarship")</f>
        <v>#REF!</v>
      </c>
      <c r="N132" s="1"/>
    </row>
    <row r="133" spans="1:15" s="2" customFormat="1" x14ac:dyDescent="0.35">
      <c r="B133" s="1" t="s">
        <v>94</v>
      </c>
      <c r="C133" s="48">
        <v>0</v>
      </c>
      <c r="D133" s="48"/>
      <c r="E133" s="49">
        <v>350</v>
      </c>
      <c r="F133" s="48"/>
      <c r="G133" s="49">
        <v>350</v>
      </c>
      <c r="H133" s="48">
        <v>54</v>
      </c>
      <c r="I133" s="49">
        <v>350</v>
      </c>
      <c r="J133" s="48">
        <v>0</v>
      </c>
      <c r="K133" s="49">
        <v>350</v>
      </c>
      <c r="L133" s="51">
        <v>0</v>
      </c>
      <c r="N133" s="1"/>
    </row>
    <row r="134" spans="1:15" s="2" customFormat="1" x14ac:dyDescent="0.35">
      <c r="B134" s="25" t="s">
        <v>95</v>
      </c>
      <c r="C134" s="77">
        <f t="shared" ref="C134:L134" si="22">SUM(C132:C133)</f>
        <v>0</v>
      </c>
      <c r="D134" s="77"/>
      <c r="E134" s="78">
        <f>SUM(E132:E133)</f>
        <v>5450</v>
      </c>
      <c r="F134" s="79">
        <f t="shared" ref="F134" si="23">SUM(F132:F133)</f>
        <v>4000</v>
      </c>
      <c r="G134" s="78">
        <f>SUM(G132:G133)</f>
        <v>4350</v>
      </c>
      <c r="H134" s="79">
        <f t="shared" si="22"/>
        <v>3054</v>
      </c>
      <c r="I134" s="78">
        <f t="shared" si="22"/>
        <v>3350</v>
      </c>
      <c r="J134" s="77">
        <f t="shared" si="22"/>
        <v>3000</v>
      </c>
      <c r="K134" s="78">
        <f t="shared" si="22"/>
        <v>3350</v>
      </c>
      <c r="L134" s="78" t="e">
        <f t="shared" si="22"/>
        <v>#REF!</v>
      </c>
      <c r="N134" s="1"/>
    </row>
    <row r="135" spans="1:15" s="2" customFormat="1" x14ac:dyDescent="0.35">
      <c r="B135" s="25" t="s">
        <v>96</v>
      </c>
      <c r="C135" s="79">
        <v>0</v>
      </c>
      <c r="D135" s="79"/>
      <c r="E135" s="80">
        <f>3415-2500+600</f>
        <v>1515</v>
      </c>
      <c r="F135" s="79"/>
      <c r="G135" s="80">
        <f>3415-2500+600</f>
        <v>1515</v>
      </c>
      <c r="H135" s="79">
        <v>0</v>
      </c>
      <c r="I135" s="80">
        <f>3415-2500+600</f>
        <v>1515</v>
      </c>
      <c r="J135" s="79">
        <v>0</v>
      </c>
      <c r="K135" s="80">
        <f>3415-2500+600</f>
        <v>1515</v>
      </c>
      <c r="L135" s="81">
        <v>0</v>
      </c>
      <c r="N135" s="1"/>
    </row>
    <row r="136" spans="1:15" s="2" customFormat="1" x14ac:dyDescent="0.35">
      <c r="B136" s="25" t="s">
        <v>97</v>
      </c>
      <c r="C136" s="40">
        <f t="shared" ref="C136:L136" si="24">+C47+C61+C71+C80+C94+C103+C117+C126+C130+C134+C135</f>
        <v>0</v>
      </c>
      <c r="D136" s="40"/>
      <c r="E136" s="82">
        <f>+E47+E61+E71+E80+E94+E103+E117+E126+E130+E134+E135</f>
        <v>145985</v>
      </c>
      <c r="F136" s="40">
        <f t="shared" ref="F136" si="25">+F47+F61+F71+F80+F94+F103+F117+F126+F130+F134+F135</f>
        <v>35579.509999999995</v>
      </c>
      <c r="G136" s="82">
        <f>+G47+G61+G71+G80+G94+G103+G117+G126+G130+G134+G135</f>
        <v>116335</v>
      </c>
      <c r="H136" s="40">
        <f t="shared" si="24"/>
        <v>30913.15</v>
      </c>
      <c r="I136" s="82">
        <f t="shared" si="24"/>
        <v>107125</v>
      </c>
      <c r="J136" s="40">
        <f t="shared" si="24"/>
        <v>67388.36</v>
      </c>
      <c r="K136" s="82">
        <f t="shared" si="24"/>
        <v>111200</v>
      </c>
      <c r="L136" s="82" t="e">
        <f t="shared" si="24"/>
        <v>#REF!</v>
      </c>
      <c r="N136" s="1"/>
    </row>
    <row r="137" spans="1:15" ht="16" thickBot="1" x14ac:dyDescent="0.4">
      <c r="B137" s="25" t="s">
        <v>98</v>
      </c>
      <c r="C137" s="83">
        <f>+C30-C136</f>
        <v>0</v>
      </c>
      <c r="D137" s="83"/>
      <c r="E137" s="84">
        <f>+E30-E136</f>
        <v>-47285</v>
      </c>
      <c r="F137" s="83">
        <f>+F30-F136+0.28</f>
        <v>30372.030000000013</v>
      </c>
      <c r="G137" s="84">
        <f>+G30-G136</f>
        <v>-19685</v>
      </c>
      <c r="H137" s="83">
        <f t="shared" ref="H137:L137" si="26">+H30-H136</f>
        <v>14035.849999999999</v>
      </c>
      <c r="I137" s="84">
        <f t="shared" si="26"/>
        <v>-25425</v>
      </c>
      <c r="J137" s="83">
        <f t="shared" si="26"/>
        <v>49305.64</v>
      </c>
      <c r="K137" s="84">
        <f t="shared" si="26"/>
        <v>-1200</v>
      </c>
      <c r="L137" s="84" t="e">
        <f t="shared" si="26"/>
        <v>#REF!</v>
      </c>
      <c r="N137" s="1"/>
      <c r="O137" s="1"/>
    </row>
    <row r="138" spans="1:15" s="2" customFormat="1" ht="9.75" customHeight="1" thickTop="1" x14ac:dyDescent="0.35"/>
    <row r="139" spans="1:15" s="2" customFormat="1" hidden="1" x14ac:dyDescent="0.35">
      <c r="B139" s="85" t="s">
        <v>99</v>
      </c>
      <c r="C139" s="86" t="e">
        <f>+C137-#REF!</f>
        <v>#REF!</v>
      </c>
      <c r="D139" s="86"/>
      <c r="E139" s="86"/>
      <c r="J139" s="86" t="e">
        <f>+J137-#REF!</f>
        <v>#REF!</v>
      </c>
    </row>
    <row r="140" spans="1:15" s="2" customFormat="1" x14ac:dyDescent="0.35">
      <c r="B140" s="2" t="s">
        <v>103</v>
      </c>
    </row>
    <row r="141" spans="1:15" s="2" customFormat="1" x14ac:dyDescent="0.35"/>
    <row r="142" spans="1:15" s="2" customFormat="1" x14ac:dyDescent="0.35"/>
    <row r="143" spans="1:15" s="2" customFormat="1" x14ac:dyDescent="0.35">
      <c r="F143" s="87">
        <f>+[3]Disbursements!$F$429</f>
        <v>-62032.700000000019</v>
      </c>
      <c r="G143" s="2" t="s">
        <v>106</v>
      </c>
    </row>
    <row r="144" spans="1:15" s="2" customFormat="1" x14ac:dyDescent="0.35">
      <c r="F144" s="87">
        <f>+[3]Deposits!$C$578</f>
        <v>92138.429999999964</v>
      </c>
      <c r="G144" s="2" t="s">
        <v>105</v>
      </c>
    </row>
    <row r="145" spans="6:7" s="2" customFormat="1" x14ac:dyDescent="0.35">
      <c r="F145" s="87">
        <f>+SUM(F143:F144)</f>
        <v>30105.729999999945</v>
      </c>
      <c r="G145" s="2" t="s">
        <v>107</v>
      </c>
    </row>
    <row r="146" spans="6:7" s="2" customFormat="1" x14ac:dyDescent="0.35">
      <c r="F146" s="87"/>
    </row>
    <row r="147" spans="6:7" x14ac:dyDescent="0.35">
      <c r="F147" s="87">
        <f>+F145-F137</f>
        <v>-266.30000000006839</v>
      </c>
      <c r="G147" s="1" t="s">
        <v>108</v>
      </c>
    </row>
    <row r="148" spans="6:7" x14ac:dyDescent="0.35">
      <c r="F148" s="87"/>
    </row>
    <row r="149" spans="6:7" x14ac:dyDescent="0.35">
      <c r="F149" s="87">
        <f>62.8+98.8+104.7</f>
        <v>266.3</v>
      </c>
      <c r="G149" s="1" t="s">
        <v>109</v>
      </c>
    </row>
    <row r="150" spans="6:7" x14ac:dyDescent="0.35">
      <c r="F150" s="87"/>
    </row>
    <row r="151" spans="6:7" x14ac:dyDescent="0.35">
      <c r="F151" s="87">
        <f>+F147+F149</f>
        <v>-6.8382632889552042E-11</v>
      </c>
      <c r="G151" s="1" t="s">
        <v>110</v>
      </c>
    </row>
    <row r="152" spans="6:7" x14ac:dyDescent="0.35">
      <c r="F152" s="87"/>
    </row>
  </sheetData>
  <mergeCells count="4">
    <mergeCell ref="A1:M1"/>
    <mergeCell ref="A6:B6"/>
    <mergeCell ref="A33:B33"/>
    <mergeCell ref="A2:K2"/>
  </mergeCells>
  <pageMargins left="0.7" right="0.7" top="0.75" bottom="0.75" header="0.3" footer="0.3"/>
  <pageSetup scale="52" fitToHeight="3" orientation="portrait" horizontalDpi="4294967293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BF05E79628640AF38E44D76F6C992" ma:contentTypeVersion="2" ma:contentTypeDescription="Create a new document." ma:contentTypeScope="" ma:versionID="b71dd717b2e4d0b8aa357b0aba6ecffb">
  <xsd:schema xmlns:xsd="http://www.w3.org/2001/XMLSchema" xmlns:xs="http://www.w3.org/2001/XMLSchema" xmlns:p="http://schemas.microsoft.com/office/2006/metadata/properties" xmlns:ns3="1cad110a-2872-4843-ab87-fc6bb2bc9392" targetNamespace="http://schemas.microsoft.com/office/2006/metadata/properties" ma:root="true" ma:fieldsID="f55ef6e5e4ab7849d15b5a8239f2e1e8" ns3:_="">
    <xsd:import namespace="1cad110a-2872-4843-ab87-fc6bb2bc93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d110a-2872-4843-ab87-fc6bb2bc9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226F74-3539-44D2-9176-CB51F502BD07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cad110a-2872-4843-ab87-fc6bb2bc939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B66B74-B4A5-46E6-A0D7-6C773C5A6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d110a-2872-4843-ab87-fc6bb2bc93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6EE699-BD1B-4041-B117-FEDD3AE7CA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Avery</dc:creator>
  <cp:lastModifiedBy>Kristen Wiklund</cp:lastModifiedBy>
  <cp:lastPrinted>2022-04-11T13:53:44Z</cp:lastPrinted>
  <dcterms:created xsi:type="dcterms:W3CDTF">2021-05-07T01:42:24Z</dcterms:created>
  <dcterms:modified xsi:type="dcterms:W3CDTF">2022-05-18T13:46:29Z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0x0101005ADBF05E79628640AF38E44D76F6C992</vt:lpwstr>
  </property>
</Properties>
</file>